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275 LOTES: 42 CAMINHÕES - 57 TRATORES - MINI PÁ CAT - TRANSBORDOS - REBOQUES - BARCOS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=HYPERLINK("https://www.leilaoonline.net/index.php/lote/detalhe/268177", "1041")</f>
      </c>
      <c r="B11" s="4" t="s">
        <f>=HYPERLINK("https://www.leilaoonline.net/index.php/lote/detalhe/268177", "APROXIMADAMENTE 100 TUBOS DE ALUMÍNIO - S/FR. - LOC. SANTA ELISA")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=HYPERLINK("https://www.leilaoonline.net/index.php/lote/detalhe/268134", "1042")</f>
      </c>
      <c r="B12" s="4" t="s">
        <f>=HYPERLINK("https://www.leilaoonline.net/index.php/lote/detalhe/268134", "SUCATA DE TRATOR CASE. - FR13802096. - LOC. SANTA ELISA ")</f>
      </c>
      <c r="C12" s="4" t="inlineStr">
        <is>
          <t>Vendido</t>
        </is>
      </c>
      <c r="D12" s="4" t="inlineStr">
        <is>
          <t>87</t>
        </is>
      </c>
      <c r="E12" s="5" t="inlineStr">
        <is>
          <t>77.500,00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=HYPERLINK("https://www.leilaoonline.net/index.php/lote/detalhe/268136", "1044")</f>
      </c>
      <c r="B13" s="4" t="s">
        <f>=HYPERLINK("https://www.leilaoonline.net/index.php/lote/detalhe/268136", "SUCATA DE TRATOR QUEIMADO. - S/FR. - LOC. SANTA ELISA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=HYPERLINK("https://www.leilaoonline.net/index.php/lote/detalhe/268137", "1045")</f>
      </c>
      <c r="B14" s="4" t="s">
        <f>=HYPERLINK("https://www.leilaoonline.net/index.php/lote/detalhe/268137", "02 CARRETAS. - FR14003562/FR14003546. - LOC. SANTA ELISA 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=HYPERLINK("https://www.leilaoonline.net/index.php/lote/detalhe/268138", "1046")</f>
      </c>
      <c r="B15" s="4" t="s">
        <f>=HYPERLINK("https://www.leilaoonline.net/index.php/lote/detalhe/268138", "TRANSBORDO TASI 10500  E IMPLEMENTO. - FR7803009/FR14005040. - LOC. SANTA ELISA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=HYPERLINK("https://www.leilaoonline.net/index.php/lote/detalhe/268139", "1047")</f>
      </c>
      <c r="B16" s="4" t="s">
        <f>=HYPERLINK("https://www.leilaoonline.net/index.php/lote/detalhe/268139", "MOTOBOMBA. - FR14005063. - LOC. SANTA ELISA")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=HYPERLINK("https://www.leilaoonline.net/index.php/lote/detalhe/268140", "1048")</f>
      </c>
      <c r="B17" s="4" t="s">
        <f>=HYPERLINK("https://www.leilaoonline.net/index.php/lote/detalhe/268140", "MOTOBOMBA. - FR14005041. - LOC. SANTA ELISA")</f>
      </c>
      <c r="C17" s="4" t="inlineStr">
        <is>
          <t>Vendido</t>
        </is>
      </c>
      <c r="D17" s="4" t="inlineStr">
        <is>
          <t>20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=HYPERLINK("https://www.leilaoonline.net/index.php/lote/detalhe/268141", "1049")</f>
      </c>
      <c r="B18" s="4" t="s">
        <f>=HYPERLINK("https://www.leilaoonline.net/index.php/lote/detalhe/268141", "MOTOBOMBA. - FR14005059. - LOC. SANTA ELISA")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=HYPERLINK("https://www.leilaoonline.net/index.php/lote/detalhe/268142", "1050")</f>
      </c>
      <c r="B19" s="4" t="s">
        <f>=HYPERLINK("https://www.leilaoonline.net/index.php/lote/detalhe/268142", "MOTOBOMBA. - FR8005037. - LOC. SANTA ELISA")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=HYPERLINK("https://www.leilaoonline.net/index.php/lote/detalhe/268143", "1051")</f>
      </c>
      <c r="B20" s="4" t="s">
        <f>=HYPERLINK("https://www.leilaoonline.net/index.php/lote/detalhe/268143", "ROSCA SEM FIM. - FR0018. - LOC. SANTA ELISA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=HYPERLINK("https://www.leilaoonline.net/index.php/lote/detalhe/268144", "1052")</f>
      </c>
      <c r="B21" s="4" t="s">
        <f>=HYPERLINK("https://www.leilaoonline.net/index.php/lote/detalhe/268144", "TANQUE . - S/FR. - LOC. VALE DO ROSÁRIO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=HYPERLINK("https://www.leilaoonline.net/index.php/lote/detalhe/268145", "1053")</f>
      </c>
      <c r="B22" s="4" t="s">
        <f>=HYPERLINK("https://www.leilaoonline.net/index.php/lote/detalhe/268145", "LOTE DE EQUIPAMENTOS INDUSTRIAIS. - FR009001/287696/287695. - LOC. VALE DO ROSÁRIO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=HYPERLINK("https://www.leilaoonline.net/index.php/lote/detalhe/268146", "1054")</f>
      </c>
      <c r="B23" s="4" t="s">
        <f>=HYPERLINK("https://www.leilaoonline.net/index.php/lote/detalhe/268146", "MESA INDUSTRIAL SANTAL. - PAT.009311. - LOC. VALE DO ROSÁRIO")</f>
      </c>
      <c r="C23" s="4" t="inlineStr">
        <is>
          <t>Vendido</t>
        </is>
      </c>
      <c r="D23" s="4" t="inlineStr">
        <is>
          <t>8</t>
        </is>
      </c>
      <c r="E23" s="5" t="inlineStr">
        <is>
          <t>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=HYPERLINK("https://www.leilaoonline.net/index.php/lote/detalhe/268147", "1055")</f>
      </c>
      <c r="B24" s="4" t="s">
        <f>=HYPERLINK("https://www.leilaoonline.net/index.php/lote/detalhe/268147", "SUCATA DE PNEUS. - S/FR. - LOC. VALE DO ROSÁRIO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=HYPERLINK("https://www.leilaoonline.net/index.php/lote/detalhe/268148", "1056")</f>
      </c>
      <c r="B25" s="4" t="s">
        <f>=HYPERLINK("https://www.leilaoonline.net/index.php/lote/detalhe/268148", "02 CARRETAS E SUCATA DE CABINE DE COLHEDORA. - FR11003804. - LOC. VALE DO ROSÁRIO 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=HYPERLINK("https://www.leilaoonline.net/index.php/lote/detalhe/268365", "1058")</f>
      </c>
      <c r="B26" s="4" t="s">
        <f>=HYPERLINK("https://www.leilaoonline.net/index.php/lote/detalhe/268365", "CAMINHÃO MERCEDES BENZ ATEGO 2730K6X4CE; ANO 2017/2018; BRANCA;(SINISTRADO- SEM DIREITO A DOCUMENTAÇÃO). - FR188610. - LOC. GASA ")</f>
      </c>
      <c r="C26" s="4" t="inlineStr">
        <is>
          <t>Vendido</t>
        </is>
      </c>
      <c r="D26" s="4" t="inlineStr">
        <is>
          <t>84</t>
        </is>
      </c>
      <c r="E26" s="5" t="inlineStr">
        <is>
          <t>130.000,00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=HYPERLINK("https://www.leilaoonline.net/index.php/lote/detalhe/268374", "1059")</f>
      </c>
      <c r="B27" s="4" t="s">
        <f>=HYPERLINK("https://www.leilaoonline.net/index.php/lote/detalhe/268374", "CAMINHÃO MERCEDES BENZ AXOR 3344S 6X4; ANO 2014/2014; BRANCA. - FR362067. - LOC. GASA 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72.000,00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=HYPERLINK("https://www.leilaoonline.net/index.php/lote/detalhe/268367", "1060")</f>
      </c>
      <c r="B28" s="4" t="s">
        <f>=HYPERLINK("https://www.leilaoonline.net/index.php/lote/detalhe/268367", "CAMINHÃO MERCEDES BENZ ATEGO 2730K6X4CE; ANO 2017/2018; BRANCA; (QUEIMADO). - ( SINISTRADO- SEM DIREITO A DOCUMENTAÇÃO). - FR188606. - LOC.GASA")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=HYPERLINK("https://www.leilaoonline.net/index.php/lote/detalhe/268379", "1065")</f>
      </c>
      <c r="B29" s="4" t="s">
        <f>=HYPERLINK("https://www.leilaoonline.net/index.php/lote/detalhe/268379", "REBOQUE CAMAQ CPL; ANO 1994/1994; AZUL (VENDA SEM DIREITO A DOCUMENTAÇÃO). - FR121200. - LOC. GASA")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=HYPERLINK("https://www.leilaoonline.net/index.php/lote/detalhe/268381", "1066")</f>
      </c>
      <c r="B30" s="4" t="s">
        <f>=HYPERLINK("https://www.leilaoonline.net/index.php/lote/detalhe/268381", "SUCATA TRATOR CASE MX 235; ANO 2014. - FR90998. - LOC. GASA")</f>
      </c>
      <c r="C30" s="4" t="inlineStr">
        <is>
          <t>Vendido</t>
        </is>
      </c>
      <c r="D30" s="4" t="inlineStr">
        <is>
          <t>32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=HYPERLINK("https://www.leilaoonline.net/index.php/lote/detalhe/268382", "1067")</f>
      </c>
      <c r="B31" s="4" t="s">
        <f>=HYPERLINK("https://www.leilaoonline.net/index.php/lote/detalhe/268382", "SUCATA TRATOR CASE MX 235; ANO 2014. - FR90958. -  LOC. GASA")</f>
      </c>
      <c r="C31" s="4" t="inlineStr">
        <is>
          <t>Vendido</t>
        </is>
      </c>
      <c r="D31" s="4" t="inlineStr">
        <is>
          <t>23</t>
        </is>
      </c>
      <c r="E31" s="5" t="inlineStr">
        <is>
          <t>37.000,00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=HYPERLINK("https://www.leilaoonline.net/index.php/lote/detalhe/268359", "1068")</f>
      </c>
      <c r="B32" s="4" t="s">
        <f>=HYPERLINK("https://www.leilaoonline.net/index.php/lote/detalhe/268359", "CAMINHÃO VOLKSWAGEN 15.180 EURO3 WORKER; ANO 2010/2010; BRANCA. - FR88150. - LOC. GASA ")</f>
      </c>
      <c r="C32" s="4" t="inlineStr">
        <is>
          <t>Vendido</t>
        </is>
      </c>
      <c r="D32" s="4" t="inlineStr">
        <is>
          <t>98</t>
        </is>
      </c>
      <c r="E32" s="5" t="inlineStr">
        <is>
          <t>127.000,00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=HYPERLINK("https://www.leilaoonline.net/index.php/lote/detalhe/268376", "1070")</f>
      </c>
      <c r="B33" s="4" t="s">
        <f>=HYPERLINK("https://www.leilaoonline.net/index.php/lote/detalhe/268376", "CAMINHÃO VOLKSWAGEN 15.190 WORKER; ANO 2012/2013; BRANCA. - FR40223. - LOC. GASA")</f>
      </c>
      <c r="C33" s="4" t="inlineStr">
        <is>
          <t>Não vendido</t>
        </is>
      </c>
      <c r="D33" s="4" t="inlineStr">
        <is>
          <t>117</t>
        </is>
      </c>
      <c r="E33" s="5" t="inlineStr">
        <is>
          <t>159.000,00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=HYPERLINK("https://www.leilaoonline.net/index.php/lote/detalhe/268361", "1071")</f>
      </c>
      <c r="B34" s="4" t="s">
        <f>=HYPERLINK("https://www.leilaoonline.net/index.php/lote/detalhe/268361", "REBOQUE TRUCK GALEGO BR; ANO 1996/1996; AZUL. - FR91100. - LOC. GASA 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=HYPERLINK("https://www.leilaoonline.net/index.php/lote/detalhe/268426", "1072")</f>
      </c>
      <c r="B35" s="4" t="s">
        <f>=HYPERLINK("https://www.leilaoonline.net/index.php/lote/detalhe/268426", "CAMINHÃO VOLKSWAGEN 15.180 EURO3 WORKER; ANO 2010/2010; BRANCA. - FR112247. - LOC. MUNDIAL")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160.000,00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=HYPERLINK("https://www.leilaoonline.net/index.php/lote/detalhe/268427", "1073")</f>
      </c>
      <c r="B36" s="4" t="s">
        <f>=HYPERLINK("https://www.leilaoonline.net/index.php/lote/detalhe/268427", "TRATOR CASE MX 260 MAGNUM 4X4; ANO 2017. - FR91592. - LOC. MUNDIAL ")</f>
      </c>
      <c r="C36" s="4" t="inlineStr">
        <is>
          <t>Vendido</t>
        </is>
      </c>
      <c r="D36" s="4" t="inlineStr">
        <is>
          <t>5</t>
        </is>
      </c>
      <c r="E36" s="5" t="inlineStr">
        <is>
          <t>90.000,00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=HYPERLINK("https://www.leilaoonline.net/index.php/lote/detalhe/268370", "1081")</f>
      </c>
      <c r="B37" s="4" t="s">
        <f>=HYPERLINK("https://www.leilaoonline.net/index.php/lote/detalhe/268370", "CAMINHÃO VOLKSWAGEN 8.120;ANO 2000/2000; BRANCA. - FR173613. - LOC.UNIVALEM ")</f>
      </c>
      <c r="C37" s="4" t="inlineStr">
        <is>
          <t>Não vendido</t>
        </is>
      </c>
      <c r="D37" s="4" t="inlineStr">
        <is>
          <t>59</t>
        </is>
      </c>
      <c r="E37" s="5" t="inlineStr">
        <is>
          <t>73.000,00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=HYPERLINK("https://www.leilaoonline.net/index.php/lote/detalhe/268428", "1082")</f>
      </c>
      <c r="B38" s="4" t="s">
        <f>=HYPERLINK("https://www.leilaoonline.net/index.php/lote/detalhe/268428", "TRATOR CASE MX 235 MAGNUM 4X4; ANO 2014. - FR81799. - LOC. UNIVALEM 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=HYPERLINK("https://www.leilaoonline.net/index.php/lote/detalhe/268433", "1083")</f>
      </c>
      <c r="B39" s="4" t="s">
        <f>=HYPERLINK("https://www.leilaoonline.net/index.php/lote/detalhe/268433", "TRATOR CASE MX 260 MAGNUM ; ANO 2014. - FR163505. - LOC. UNIVALEM ")</f>
      </c>
      <c r="C39" s="4" t="inlineStr">
        <is>
          <t>Vendido</t>
        </is>
      </c>
      <c r="D39" s="4" t="inlineStr">
        <is>
          <t>3</t>
        </is>
      </c>
      <c r="E39" s="5" t="inlineStr">
        <is>
          <t>70.000,00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=HYPERLINK("https://www.leilaoonline.net/index.php/lote/detalhe/268362", "1085")</f>
      </c>
      <c r="B40" s="4" t="s">
        <f>=HYPERLINK("https://www.leilaoonline.net/index.php/lote/detalhe/268362", "COLHEDORA JOHN DEERE 3522. - FR188008. - LOC. GASA")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=HYPERLINK("https://www.leilaoonline.net/index.php/lote/detalhe/268360", "1086")</f>
      </c>
      <c r="B41" s="4" t="s">
        <f>=HYPERLINK("https://www.leilaoonline.net/index.php/lote/detalhe/268360", "VEJA VÍDEO!!! TRATOR JOHN DEERE 7225J; ANO 2016. - FR100757. - LOC. GASA 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106.000,00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=HYPERLINK("https://www.leilaoonline.net/index.php/lote/detalhe/268383", "1087")</f>
      </c>
      <c r="B42" s="4" t="s">
        <f>=HYPERLINK("https://www.leilaoonline.net/index.php/lote/detalhe/268383", "VEJA VÍDEO!!! TRATOR JOHN DEERE 7225J; ANO 2012. - FR49553. - LOC. GASA ")</f>
      </c>
      <c r="C42" s="4" t="inlineStr">
        <is>
          <t>Vendido</t>
        </is>
      </c>
      <c r="D42" s="4" t="inlineStr">
        <is>
          <t>93</t>
        </is>
      </c>
      <c r="E42" s="5" t="inlineStr">
        <is>
          <t>120.000,00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=HYPERLINK("https://www.leilaoonline.net/index.php/lote/detalhe/268861", "1089")</f>
      </c>
      <c r="B43" s="4" t="s">
        <f>=HYPERLINK("https://www.leilaoonline.net/index.php/lote/detalhe/268861", "VEJA VÍDEO!!! TRATOR JOHN DEERE 7225J; ANO 2016. - FR100754. - LOC. GASA ")</f>
      </c>
      <c r="C43" s="4" t="inlineStr">
        <is>
          <t>Vendido</t>
        </is>
      </c>
      <c r="D43" s="4" t="inlineStr">
        <is>
          <t>40</t>
        </is>
      </c>
      <c r="E43" s="5" t="inlineStr">
        <is>
          <t>128.000,00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=HYPERLINK("https://www.leilaoonline.net/index.php/lote/detalhe/268363", "1090")</f>
      </c>
      <c r="B44" s="4" t="s">
        <f>=HYPERLINK("https://www.leilaoonline.net/index.php/lote/detalhe/268363", "DOLLY RODOFORT. - ANO 2008 - FR56910. - (VENDA SEM DOCUMENTO) - LOC. GASA")</f>
      </c>
      <c r="C44" s="4" t="inlineStr">
        <is>
          <t>Vendido</t>
        </is>
      </c>
      <c r="D44" s="4" t="inlineStr">
        <is>
          <t>9</t>
        </is>
      </c>
      <c r="E44" s="5" t="inlineStr">
        <is>
          <t>9.700,00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=HYPERLINK("https://www.leilaoonline.net/index.php/lote/detalhe/268914", "1091")</f>
      </c>
      <c r="B45" s="4" t="s">
        <f>=HYPERLINK("https://www.leilaoonline.net/index.php/lote/detalhe/268914", "VEJA VÍDEO!!! TRATOR JOHN DEERE 7225J; ANO 2016. - FR100755. - LOC. GASA 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124.000,00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=HYPERLINK("https://www.leilaoonline.net/index.php/lote/detalhe/268937", "1092")</f>
      </c>
      <c r="B46" s="4" t="s">
        <f>=HYPERLINK("https://www.leilaoonline.net/index.php/lote/detalhe/268937", "VEJA VÍDEO!!! TRATOR JOHN DEERE 7225J ; ANO 2016. - FR100752. - LOC. GASA ")</f>
      </c>
      <c r="C46" s="4" t="inlineStr">
        <is>
          <t>Vendido</t>
        </is>
      </c>
      <c r="D46" s="4" t="inlineStr">
        <is>
          <t>43</t>
        </is>
      </c>
      <c r="E46" s="5" t="inlineStr">
        <is>
          <t>134.000,00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=HYPERLINK("https://www.leilaoonline.net/index.php/lote/detalhe/268436", "1093")</f>
      </c>
      <c r="B47" s="4" t="s">
        <f>=HYPERLINK("https://www.leilaoonline.net/index.php/lote/detalhe/268436", "COLHEDORA JOHN DEERE 3522 2L ; ANO 2013. - FR188005. - LOC. GASA ")</f>
      </c>
      <c r="C47" s="4" t="inlineStr">
        <is>
          <t>Vendido</t>
        </is>
      </c>
      <c r="D47" s="4" t="inlineStr">
        <is>
          <t>6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=HYPERLINK("https://www.leilaoonline.net/index.php/lote/detalhe/268364", "1094")</f>
      </c>
      <c r="B48" s="4" t="s">
        <f>=HYPERLINK("https://www.leilaoonline.net/index.php/lote/detalhe/268364", "REBOQUE FACCHINI RF CA; ANO 1998/1998; AZUL. - FR112642. - LOC. GASA 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=HYPERLINK("https://www.leilaoonline.net/index.php/lote/detalhe/268408", "1095")</f>
      </c>
      <c r="B49" s="4" t="s">
        <f>=HYPERLINK("https://www.leilaoonline.net/index.php/lote/detalhe/268408", "DOLLY GUERRA; ANO 2009. - FRFR88560. (VENDA SEM DOCUMENTO) - LOC. BENALCOOL")</f>
      </c>
      <c r="C49" s="4" t="inlineStr">
        <is>
          <t>Vendido</t>
        </is>
      </c>
      <c r="D49" s="4" t="inlineStr">
        <is>
          <t>21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=HYPERLINK("https://www.leilaoonline.net/index.php/lote/detalhe/268391", "1096")</f>
      </c>
      <c r="B50" s="4" t="s">
        <f>=HYPERLINK("https://www.leilaoonline.net/index.php/lote/detalhe/268391", "DESENLEIRADOR PALHA CARDEROLI; ANO 2014. - FR84680. - LOC. BENALCOOL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=HYPERLINK("https://www.leilaoonline.net/index.php/lote/detalhe/268389", "1097")</f>
      </c>
      <c r="B51" s="4" t="s">
        <f>=HYPERLINK("https://www.leilaoonline.net/index.php/lote/detalhe/268389", "DESENLEIRADOR PALHA CARDEROLI; ANO 2014. - FR84681. - LOC. BENALCOOL")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=HYPERLINK("https://www.leilaoonline.net/index.php/lote/detalhe/268440", "1098")</f>
      </c>
      <c r="B52" s="4" t="s">
        <f>=HYPERLINK("https://www.leilaoonline.net/index.php/lote/detalhe/268440", "DESENLEIRADOR PALHA CARDEROLI; ANO 2014.- FR84725. - LOC. BENALCOOL")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=HYPERLINK("https://www.leilaoonline.net/index.php/lote/detalhe/268404", "1099")</f>
      </c>
      <c r="B53" s="4" t="s">
        <f>=HYPERLINK("https://www.leilaoonline.net/index.php/lote/detalhe/268404", "DESENLEIRADOR PALHA CARDEROLI; ANO 2014. - FR84691. - LOC.BENALCOOL")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=HYPERLINK("https://www.leilaoonline.net/index.php/lote/detalhe/266296", "1100")</f>
      </c>
      <c r="B54" s="4" t="s">
        <f>=HYPERLINK("https://www.leilaoonline.net/index.php/lote/detalhe/266296", "ENXADA ROTATIVA. - FR134078. - LOC. BARRA ")</f>
      </c>
      <c r="C54" s="4" t="inlineStr">
        <is>
          <t>Vendido</t>
        </is>
      </c>
      <c r="D54" s="4" t="inlineStr">
        <is>
          <t>4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=HYPERLINK("https://www.leilaoonline.net/index.php/lote/detalhe/266325", "1101")</f>
      </c>
      <c r="B55" s="4" t="s">
        <f>=HYPERLINK("https://www.leilaoonline.net/index.php/lote/detalhe/266325", " 2 ESTRUTURAS DE IMPLEMENTO. - FR103237. - LOC. BARRA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=HYPERLINK("https://www.leilaoonline.net/index.php/lote/detalhe/266297", "1102")</f>
      </c>
      <c r="B56" s="4" t="s">
        <f>=HYPERLINK("https://www.leilaoonline.net/index.php/lote/detalhe/266297", " AGROMATÃO. - FR103240. - LOC. BARRA ")</f>
      </c>
      <c r="C56" s="4" t="inlineStr">
        <is>
          <t>Vendido</t>
        </is>
      </c>
      <c r="D56" s="4" t="inlineStr">
        <is>
          <t>3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=HYPERLINK("https://www.leilaoonline.net/index.php/lote/detalhe/266298", "1103")</f>
      </c>
      <c r="B57" s="4" t="s">
        <f>=HYPERLINK("https://www.leilaoonline.net/index.php/lote/detalhe/266298", " AGROMATÃO. -FR57436. - LOC. BARRA")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=HYPERLINK("https://www.leilaoonline.net/index.php/lote/detalhe/266315", "1104")</f>
      </c>
      <c r="B58" s="4" t="s">
        <f>=HYPERLINK("https://www.leilaoonline.net/index.php/lote/detalhe/266315", " AGROMATÃO. - FR103239. -LOC. BARRA")</f>
      </c>
      <c r="C58" s="4" t="inlineStr">
        <is>
          <t>Vendido</t>
        </is>
      </c>
      <c r="D58" s="4" t="inlineStr">
        <is>
          <t>20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=HYPERLINK("https://www.leilaoonline.net/index.php/lote/detalhe/266328", "1105")</f>
      </c>
      <c r="B59" s="4" t="s">
        <f>=HYPERLINK("https://www.leilaoonline.net/index.php/lote/detalhe/266328", "TRATOR CASE PUMA 200; ANO 2016. - FR512041. - LOC. BARRA ")</f>
      </c>
      <c r="C59" s="4" t="inlineStr">
        <is>
          <t>Vendido</t>
        </is>
      </c>
      <c r="D59" s="4" t="inlineStr">
        <is>
          <t>62</t>
        </is>
      </c>
      <c r="E59" s="5" t="inlineStr">
        <is>
          <t>86.000,00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=HYPERLINK("https://www.leilaoonline.net/index.php/lote/detalhe/266314", "1106")</f>
      </c>
      <c r="B60" s="4" t="s">
        <f>=HYPERLINK("https://www.leilaoonline.net/index.php/lote/detalhe/266314", " APROXIMADAMENTE 47 UNDS. COMPUTADOR BD CBA 300013003. - S/FR. - LOC. BARRA 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=HYPERLINK("https://www.leilaoonline.net/index.php/lote/detalhe/266322", "1107")</f>
      </c>
      <c r="B61" s="4" t="s">
        <f>=HYPERLINK("https://www.leilaoonline.net/index.php/lote/detalhe/266322", "APROXIMADAMENTE 45 UNDS.COMBRAR QD COMPUTADOR BD MAG 300. - S/FR. - LOC. BARRA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=HYPERLINK("https://www.leilaoonline.net/index.php/lote/detalhe/269317", "1108")</f>
      </c>
      <c r="B62" s="4" t="s">
        <f>=HYPERLINK("https://www.leilaoonline.net/index.php/lote/detalhe/269317", "CAMINHÃO VOLKSWAGEN 26.220 EURO3 WORKER; ANO 2010/2010; BRANCA; (VENDA SOMENTE PARA COMPRADORES DO ESTADO DE SÃO PAULO); (TANQUE AÇO). - FR131206. - LOC. SERRA")</f>
      </c>
      <c r="C62" s="4" t="inlineStr">
        <is>
          <t>Vendido</t>
        </is>
      </c>
      <c r="D62" s="4" t="inlineStr">
        <is>
          <t>88</t>
        </is>
      </c>
      <c r="E62" s="5" t="inlineStr">
        <is>
          <t>119.000,00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=HYPERLINK("https://www.leilaoonline.net/index.php/lote/detalhe/267812", "1109")</f>
      </c>
      <c r="B63" s="4" t="s">
        <f>=HYPERLINK("https://www.leilaoonline.net/index.php/lote/detalhe/267812", " CAMINHÃO VOLKSWAGEN 26.220 EURO3 WORKER; ANO 2010/2010; BRANCA(C/ CAB. ABS (AUXILIAR). - FR10607. - LOC. SERRA ")</f>
      </c>
      <c r="C63" s="4" t="inlineStr">
        <is>
          <t>Vendido</t>
        </is>
      </c>
      <c r="D63" s="4" t="inlineStr">
        <is>
          <t>77</t>
        </is>
      </c>
      <c r="E63" s="5" t="inlineStr">
        <is>
          <t>128.000,00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=HYPERLINK("https://www.leilaoonline.net/index.php/lote/detalhe/267793", "1110")</f>
      </c>
      <c r="B64" s="4" t="s">
        <f>=HYPERLINK("https://www.leilaoonline.net/index.php/lote/detalhe/267793", " TRATOR BH 180; ANO 2013. - FR306743. - LOC. SERRA")</f>
      </c>
      <c r="C64" s="4" t="inlineStr">
        <is>
          <t>Vendido</t>
        </is>
      </c>
      <c r="D64" s="4" t="inlineStr">
        <is>
          <t>85</t>
        </is>
      </c>
      <c r="E64" s="5" t="inlineStr">
        <is>
          <t>130.000,00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=HYPERLINK("https://www.leilaoonline.net/index.php/lote/detalhe/267797", "1111")</f>
      </c>
      <c r="B65" s="4" t="s">
        <f>=HYPERLINK("https://www.leilaoonline.net/index.php/lote/detalhe/267797", " TRATOR CASE 260; ANO 2017. - FR31061. - LOC. SERRA ")</f>
      </c>
      <c r="C65" s="4" t="inlineStr">
        <is>
          <t>Vendido</t>
        </is>
      </c>
      <c r="D65" s="4" t="inlineStr">
        <is>
          <t>3</t>
        </is>
      </c>
      <c r="E65" s="5" t="inlineStr">
        <is>
          <t>85.000,00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=HYPERLINK("https://www.leilaoonline.net/index.php/lote/detalhe/267808", "1113")</f>
      </c>
      <c r="B66" s="4" t="s">
        <f>=HYPERLINK("https://www.leilaoonline.net/index.php/lote/detalhe/267808", " TRATOR CASE 235; ANO 2013. - FR360727 - LOC. SERRA ")</f>
      </c>
      <c r="C66" s="4" t="inlineStr">
        <is>
          <t>Vendido</t>
        </is>
      </c>
      <c r="D66" s="4" t="inlineStr">
        <is>
          <t>38</t>
        </is>
      </c>
      <c r="E66" s="5" t="inlineStr">
        <is>
          <t>62.000,00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=HYPERLINK("https://www.leilaoonline.net/index.php/lote/detalhe/267819", "1114")</f>
      </c>
      <c r="B67" s="4" t="s">
        <f>=HYPERLINK("https://www.leilaoonline.net/index.php/lote/detalhe/267819", " TRATOR CASE 260; ANO 2017. - FR20289. - LOC. SERRA ")</f>
      </c>
      <c r="C67" s="4" t="inlineStr">
        <is>
          <t>Vendido</t>
        </is>
      </c>
      <c r="D67" s="4" t="inlineStr">
        <is>
          <t>26</t>
        </is>
      </c>
      <c r="E67" s="5" t="inlineStr">
        <is>
          <t>142.500,00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=HYPERLINK("https://www.leilaoonline.net/index.php/lote/detalhe/267795", "1115")</f>
      </c>
      <c r="B68" s="4" t="s">
        <f>=HYPERLINK("https://www.leilaoonline.net/index.php/lote/detalhe/267795", "CARREGADEIRA SANTAL (S/ MOTOR E OUTROS). - FR360749. - LOC. SERRA ")</f>
      </c>
      <c r="C68" s="4" t="inlineStr">
        <is>
          <t>Não vendido</t>
        </is>
      </c>
      <c r="D68" s="4" t="inlineStr">
        <is>
          <t>109</t>
        </is>
      </c>
      <c r="E68" s="5" t="inlineStr">
        <is>
          <t>124.000,00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=HYPERLINK("https://www.leilaoonline.net/index.php/lote/detalhe/267800", "1116")</f>
      </c>
      <c r="B69" s="4" t="s">
        <f>=HYPERLINK("https://www.leilaoonline.net/index.php/lote/detalhe/267800", "SUCATA CAMINHÃO MERCEDES BENZ AXOR GRUNNER; (QUEIMADO). - FR96593/FR98961. -  (VENDA SEM DOCUMENTO) - LOC. SERRA ")</f>
      </c>
      <c r="C69" s="4" t="inlineStr">
        <is>
          <t>Vendido</t>
        </is>
      </c>
      <c r="D69" s="4" t="inlineStr">
        <is>
          <t>69</t>
        </is>
      </c>
      <c r="E69" s="5" t="inlineStr">
        <is>
          <t>91.000,00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=HYPERLINK("https://www.leilaoonline.net/index.php/lote/detalhe/267810", "1117")</f>
      </c>
      <c r="B70" s="4" t="s">
        <f>=HYPERLINK("https://www.leilaoonline.net/index.php/lote/detalhe/267810", " DOLLY. - FR121937. (VENDA SEM DOCUMENTO) - LOC. SERRA 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7.200,00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=HYPERLINK("https://www.leilaoonline.net/index.php/lote/detalhe/267804", "1118")</f>
      </c>
      <c r="B71" s="4" t="s">
        <f>=HYPERLINK("https://www.leilaoonline.net/index.php/lote/detalhe/267804", " DOLLY. - FR10272. - (VENDA SEM DOCUMENTO) - LOC. SERRA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=HYPERLINK("https://www.leilaoonline.net/index.php/lote/detalhe/267824", "1119")</f>
      </c>
      <c r="B72" s="4" t="s">
        <f>=HYPERLINK("https://www.leilaoonline.net/index.php/lote/detalhe/267824", " DOLLY. - FR121903. - (VENDA SEM DOCUMENTO) - LOC. SERRA ")</f>
      </c>
      <c r="C72" s="4" t="inlineStr">
        <is>
          <t>Vendido</t>
        </is>
      </c>
      <c r="D72" s="4" t="inlineStr">
        <is>
          <t>3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=HYPERLINK("https://www.leilaoonline.net/index.php/lote/detalhe/267796", "1120")</f>
      </c>
      <c r="B73" s="4" t="s">
        <f>=HYPERLINK("https://www.leilaoonline.net/index.php/lote/detalhe/267796", " 07 UNDS. DE COLUNAS E 13 PEÇAS/PARTES - COLUNA DESTILAÇÃO CODODISTIL 2,5X9,7M, E TROCADORES K PARA APARELHOS DESTILAÇÃO CAP. APROX. 135 M3/H DE VINHO E APROX. 162 M2 DE TROCA TÉRMICA. - S/FR. - LOC. SERRA ")</f>
      </c>
      <c r="C73" s="4" t="inlineStr">
        <is>
          <t>Vendido</t>
        </is>
      </c>
      <c r="D73" s="4" t="inlineStr">
        <is>
          <t>105</t>
        </is>
      </c>
      <c r="E73" s="5" t="inlineStr">
        <is>
          <t>90.500,00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=HYPERLINK("https://www.leilaoonline.net/index.php/lote/detalhe/267820", "1122")</f>
      </c>
      <c r="B74" s="4" t="s">
        <f>=HYPERLINK("https://www.leilaoonline.net/index.php/lote/detalhe/267820", " CAMINHÃO VOLKSWAGEN 13.180; ANO 2001/2001; BRANCA (BAÚ). - FR13001017. -  LOC. ZANIN")</f>
      </c>
      <c r="C74" s="4" t="inlineStr">
        <is>
          <t>Vendido</t>
        </is>
      </c>
      <c r="D74" s="4" t="inlineStr">
        <is>
          <t>41</t>
        </is>
      </c>
      <c r="E74" s="5" t="inlineStr">
        <is>
          <t>58.000,00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=HYPERLINK("https://www.leilaoonline.net/index.php/lote/detalhe/267798", "1124")</f>
      </c>
      <c r="B75" s="4" t="s">
        <f>=HYPERLINK("https://www.leilaoonline.net/index.php/lote/detalhe/267798", " TRATOR CASE 260; ANO 2017. - FR20383. - LOC. ZANIN")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80.000,00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=HYPERLINK("https://www.leilaoonline.net/index.php/lote/detalhe/267821", "1125")</f>
      </c>
      <c r="B76" s="4" t="s">
        <f>=HYPERLINK("https://www.leilaoonline.net/index.php/lote/detalhe/267821", "CARROCERIA COMBOIO GASCOM - FR361434. - LOC. ZANIN")</f>
      </c>
      <c r="C76" s="4" t="inlineStr">
        <is>
          <t>Vendido</t>
        </is>
      </c>
      <c r="D76" s="4" t="inlineStr">
        <is>
          <t>35</t>
        </is>
      </c>
      <c r="E76" s="5" t="inlineStr">
        <is>
          <t>20.500,00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=HYPERLINK("https://www.leilaoonline.net/index.php/lote/detalhe/267807", "1126")</f>
      </c>
      <c r="B77" s="4" t="s">
        <f>=HYPERLINK("https://www.leilaoonline.net/index.php/lote/detalhe/267807", " TRATOR CASE 235; ANO 2014. - FR10763. - LOC. ZANIN")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=HYPERLINK("https://www.leilaoonline.net/index.php/lote/detalhe/267829", "1127")</f>
      </c>
      <c r="B78" s="4" t="s">
        <f>=HYPERLINK("https://www.leilaoonline.net/index.php/lote/detalhe/267829", "CARROCERIA GASCOM  TANQUE AÇO. - FR361867. - LOC. ZANIN")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=HYPERLINK("https://www.leilaoonline.net/index.php/lote/detalhe/267822", "1128")</f>
      </c>
      <c r="B79" s="4" t="s">
        <f>=HYPERLINK("https://www.leilaoonline.net/index.php/lote/detalhe/267822", "TRATOR JOHN DEERE 7225J - ANO 2016 - FR115708. - LOC. BONFIM")</f>
      </c>
      <c r="C79" s="4" t="inlineStr">
        <is>
          <t>Vendido</t>
        </is>
      </c>
      <c r="D79" s="4" t="inlineStr">
        <is>
          <t>58</t>
        </is>
      </c>
      <c r="E79" s="5" t="inlineStr">
        <is>
          <t>137.000,00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=HYPERLINK("https://www.leilaoonline.net/index.php/lote/detalhe/267809", "1129")</f>
      </c>
      <c r="B80" s="4" t="s">
        <f>=HYPERLINK("https://www.leilaoonline.net/index.php/lote/detalhe/267809", "TRATOR JOHN DEERE 7225J. - ANO 2016 - FR115695. - LOC. BONFIM ")</f>
      </c>
      <c r="C80" s="4" t="inlineStr">
        <is>
          <t>Não vendido</t>
        </is>
      </c>
      <c r="D80" s="4" t="inlineStr">
        <is>
          <t>41</t>
        </is>
      </c>
      <c r="E80" s="5" t="inlineStr">
        <is>
          <t>110.000,00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=HYPERLINK("https://www.leilaoonline.net/index.php/lote/detalhe/267803", "1130")</f>
      </c>
      <c r="B81" s="4" t="s">
        <f>=HYPERLINK("https://www.leilaoonline.net/index.php/lote/detalhe/267803", "TRATOR JOHN DEERE 7225J. - ANO 2016 - FR115705. - LOC. BONFIM ")</f>
      </c>
      <c r="C81" s="4" t="inlineStr">
        <is>
          <t>Vendido</t>
        </is>
      </c>
      <c r="D81" s="4" t="inlineStr">
        <is>
          <t>19</t>
        </is>
      </c>
      <c r="E81" s="5" t="inlineStr">
        <is>
          <t>113.000,00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=HYPERLINK("https://www.leilaoonline.net/index.php/lote/detalhe/267828", "1131")</f>
      </c>
      <c r="B82" s="4" t="s">
        <f>=HYPERLINK("https://www.leilaoonline.net/index.php/lote/detalhe/267828", "TRATOR JOHN DEERE 7225J. - ANO 2016 - FR115690. - LOC. BONFIM ")</f>
      </c>
      <c r="C82" s="4" t="inlineStr">
        <is>
          <t>Vendido</t>
        </is>
      </c>
      <c r="D82" s="4" t="inlineStr">
        <is>
          <t>37</t>
        </is>
      </c>
      <c r="E82" s="5" t="inlineStr">
        <is>
          <t>103.000,00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=HYPERLINK("https://www.leilaoonline.net/index.php/lote/detalhe/267826", "1132")</f>
      </c>
      <c r="B83" s="4" t="s">
        <f>=HYPERLINK("https://www.leilaoonline.net/index.php/lote/detalhe/267826", "TRATOR JOHN DEERE 7225J. - ANO 2016 - FR115703. - LOC. BONFIM ")</f>
      </c>
      <c r="C83" s="4" t="inlineStr">
        <is>
          <t>Vendido</t>
        </is>
      </c>
      <c r="D83" s="4" t="inlineStr">
        <is>
          <t>30</t>
        </is>
      </c>
      <c r="E83" s="5" t="inlineStr">
        <is>
          <t>95.000,00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=HYPERLINK("https://www.leilaoonline.net/index.php/lote/detalhe/267818", "1133")</f>
      </c>
      <c r="B84" s="4" t="s">
        <f>=HYPERLINK("https://www.leilaoonline.net/index.php/lote/detalhe/267818", "TRATOR JOHN DEERE 7225J . - ANO 2016 - FR115706. - LOC. BONFIM ")</f>
      </c>
      <c r="C84" s="4" t="inlineStr">
        <is>
          <t>Vendido</t>
        </is>
      </c>
      <c r="D84" s="4" t="inlineStr">
        <is>
          <t>30</t>
        </is>
      </c>
      <c r="E84" s="5" t="inlineStr">
        <is>
          <t>103.000,00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=HYPERLINK("https://www.leilaoonline.net/index.php/lote/detalhe/267827", "1134")</f>
      </c>
      <c r="B85" s="4" t="s">
        <f>=HYPERLINK("https://www.leilaoonline.net/index.php/lote/detalhe/267827", "TRATOR JOHN DEERE 7225J. - ANO 2016 - FR115720. - LOC. BONFIM ")</f>
      </c>
      <c r="C85" s="4" t="inlineStr">
        <is>
          <t>Vendido</t>
        </is>
      </c>
      <c r="D85" s="4" t="inlineStr">
        <is>
          <t>54</t>
        </is>
      </c>
      <c r="E85" s="5" t="inlineStr">
        <is>
          <t>108.000,00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=HYPERLINK("https://www.leilaoonline.net/index.php/lote/detalhe/267815", "1135")</f>
      </c>
      <c r="B86" s="4" t="s">
        <f>=HYPERLINK("https://www.leilaoonline.net/index.php/lote/detalhe/267815", " TRATOR JOHN DEERE 7225J. - ANO 2016 - FR115692. - LOC. BONFIM ")</f>
      </c>
      <c r="C86" s="4" t="inlineStr">
        <is>
          <t>Vendido</t>
        </is>
      </c>
      <c r="D86" s="4" t="inlineStr">
        <is>
          <t>52</t>
        </is>
      </c>
      <c r="E86" s="5" t="inlineStr">
        <is>
          <t>101.000,00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=HYPERLINK("https://www.leilaoonline.net/index.php/lote/detalhe/269318", "1136")</f>
      </c>
      <c r="B87" s="4" t="s">
        <f>=HYPERLINK("https://www.leilaoonline.net/index.php/lote/detalhe/269318", "CAMINHÃO VOLKSWAGEN 26.220 EURO3 WORKER; ANO 2011/2012; BRANCA; (VENDA SOMENTE PARA COMPRADORES DO ESTADO DE SÃO PAULO); (VENDA SEM CARROCERIA). - FR360442. - LOC. BONFIM")</f>
      </c>
      <c r="C87" s="4" t="inlineStr">
        <is>
          <t>Vendido</t>
        </is>
      </c>
      <c r="D87" s="4" t="inlineStr">
        <is>
          <t>102</t>
        </is>
      </c>
      <c r="E87" s="5" t="inlineStr">
        <is>
          <t>144.000,00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=HYPERLINK("https://www.leilaoonline.net/index.php/lote/detalhe/267805", "1138")</f>
      </c>
      <c r="B88" s="4" t="s">
        <f>=HYPERLINK("https://www.leilaoonline.net/index.php/lote/detalhe/267805", " PLANTADORA. - S/FR. - LOC. CONTINENTAL ")</f>
      </c>
      <c r="C88" s="4" t="inlineStr">
        <is>
          <t>Vendido</t>
        </is>
      </c>
      <c r="D88" s="4" t="inlineStr">
        <is>
          <t>93</t>
        </is>
      </c>
      <c r="E88" s="5" t="inlineStr">
        <is>
          <t>80.000,00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=HYPERLINK("https://www.leilaoonline.net/index.php/lote/detalhe/267794", "1140")</f>
      </c>
      <c r="B89" s="4" t="s">
        <f>=HYPERLINK("https://www.leilaoonline.net/index.php/lote/detalhe/267794", "REBOQUE RODOVIÁRIA; ANO 1985/1985; AZUL. - FR11004315 - LOC. CONTINENTAL")</f>
      </c>
      <c r="C89" s="4" t="inlineStr">
        <is>
          <t>Vendido</t>
        </is>
      </c>
      <c r="D89" s="4" t="inlineStr">
        <is>
          <t>11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=HYPERLINK("https://www.leilaoonline.net/index.php/lote/detalhe/267799", "1141")</f>
      </c>
      <c r="B90" s="4" t="s">
        <f>=HYPERLINK("https://www.leilaoonline.net/index.php/lote/detalhe/267799", " SEMI REBOQUE RANDONSP SRCA CA; ANO 2012/2012; AZUL. - FR10919. - LOC. CONTINENTAL ")</f>
      </c>
      <c r="C90" s="4" t="inlineStr">
        <is>
          <t>Não vendido</t>
        </is>
      </c>
      <c r="D90" s="4" t="inlineStr">
        <is>
          <t>26</t>
        </is>
      </c>
      <c r="E90" s="5" t="inlineStr">
        <is>
          <t>64.000,00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=HYPERLINK("https://www.leilaoonline.net/index.php/lote/detalhe/267817", "1142")</f>
      </c>
      <c r="B91" s="4" t="s">
        <f>=HYPERLINK("https://www.leilaoonline.net/index.php/lote/detalhe/267817", "SEMI REBOQUE RANDONSP SRCA CA; ANO 2012/2012; AZUL. - FR10917. - LOC. CONTINENTAL ")</f>
      </c>
      <c r="C91" s="4" t="inlineStr">
        <is>
          <t>Vendido</t>
        </is>
      </c>
      <c r="D91" s="4" t="inlineStr">
        <is>
          <t>30</t>
        </is>
      </c>
      <c r="E91" s="5" t="inlineStr">
        <is>
          <t>65.000,00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=HYPERLINK("https://www.leilaoonline.net/index.php/lote/detalhe/267823", "1144")</f>
      </c>
      <c r="B92" s="4" t="s">
        <f>=HYPERLINK("https://www.leilaoonline.net/index.php/lote/detalhe/267823", " SEMI REBOQUE RANDONSP SRCA CA; ANO 2012/2012; AZUL. - FR70386. - LOC. CONTINENTAL")</f>
      </c>
      <c r="C92" s="4" t="inlineStr">
        <is>
          <t>Não vendido</t>
        </is>
      </c>
      <c r="D92" s="4" t="inlineStr">
        <is>
          <t>34</t>
        </is>
      </c>
      <c r="E92" s="5" t="inlineStr">
        <is>
          <t>66.000,00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=HYPERLINK("https://www.leilaoonline.net/index.php/lote/detalhe/267802", "1145")</f>
      </c>
      <c r="B93" s="4" t="s">
        <f>=HYPERLINK("https://www.leilaoonline.net/index.php/lote/detalhe/267802", " SEMI REBOQUE RANDONSP SRCA CA; ANO 2012/2012; AZUL. - FR10925. - LOC. CONTINENTAL ")</f>
      </c>
      <c r="C93" s="4" t="inlineStr">
        <is>
          <t>Vendido</t>
        </is>
      </c>
      <c r="D93" s="4" t="inlineStr">
        <is>
          <t>30</t>
        </is>
      </c>
      <c r="E93" s="5" t="inlineStr">
        <is>
          <t>69.000,00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=HYPERLINK("https://www.leilaoonline.net/index.php/lote/detalhe/267801", "1146")</f>
      </c>
      <c r="B94" s="4" t="s">
        <f>=HYPERLINK("https://www.leilaoonline.net/index.php/lote/detalhe/267801", " SEMI REBOQUE RANDONSP SRCA CA; ANO 2012/2012; AZUL. - FR10926. - LOC. CONTINENTAL ")</f>
      </c>
      <c r="C94" s="4" t="inlineStr">
        <is>
          <t>Vendido</t>
        </is>
      </c>
      <c r="D94" s="4" t="inlineStr">
        <is>
          <t>34</t>
        </is>
      </c>
      <c r="E94" s="5" t="inlineStr">
        <is>
          <t>70.000,00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=HYPERLINK("https://www.leilaoonline.net/index.php/lote/detalhe/268939", "9018")</f>
      </c>
      <c r="B95" s="4" t="s">
        <f>=HYPERLINK("https://www.leilaoonline.net/index.php/lote/detalhe/268939", "DISTRIBUIDOR SOLLUS 20.0 CHDT; ANO 2018. - FR45312. - LOC. CAARAPÓ")</f>
      </c>
      <c r="C95" s="4" t="inlineStr">
        <is>
          <t>Vendido</t>
        </is>
      </c>
      <c r="D95" s="4" t="inlineStr">
        <is>
          <t>42</t>
        </is>
      </c>
      <c r="E95" s="5" t="inlineStr">
        <is>
          <t>34.000,00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=HYPERLINK("https://www.leilaoonline.net/index.php/lote/detalhe/268953", "10002")</f>
      </c>
      <c r="B96" s="4" t="s">
        <f>=HYPERLINK("https://www.leilaoonline.net/index.php/lote/detalhe/268953", " SUBSOLADOR CANAVIEIRO STARA. - FR4445320. - LOC. CAARAPÓ")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=HYPERLINK("https://www.leilaoonline.net/index.php/lote/detalhe/268954", "10003")</f>
      </c>
      <c r="B97" s="4" t="s">
        <f>=HYPERLINK("https://www.leilaoonline.net/index.php/lote/detalhe/268954", "SUBSOLADOR CANAVIEIRO STARA. - FR4445335. - LOC. CAARAPÓ")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=HYPERLINK("https://www.leilaoonline.net/index.php/lote/detalhe/268952", "10004")</f>
      </c>
      <c r="B98" s="4" t="s">
        <f>=HYPERLINK("https://www.leilaoonline.net/index.php/lote/detalhe/268952", " SUBSOLADOR CANAVIEIRO STARA. - FR4445322. - LOC. CAARAPÓ")</f>
      </c>
      <c r="C98" s="4" t="inlineStr">
        <is>
          <t>Não vendido</t>
        </is>
      </c>
      <c r="D98" s="4" t="inlineStr">
        <is>
          <t>86</t>
        </is>
      </c>
      <c r="E98" s="5" t="inlineStr">
        <is>
          <t>13.800,00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=HYPERLINK("https://www.leilaoonline.net/index.php/lote/detalhe/268946", "10019")</f>
      </c>
      <c r="B99" s="4" t="s">
        <f>=HYPERLINK("https://www.leilaoonline.net/index.php/lote/detalhe/268946", "(VEJA VIDEO) TRATOR CASE MX 340; ANO 2018. - FR4435194. -  LOC. CAARAPÓ ")</f>
      </c>
      <c r="C99" s="4" t="inlineStr">
        <is>
          <t>Vendido</t>
        </is>
      </c>
      <c r="D99" s="4" t="inlineStr">
        <is>
          <t>23</t>
        </is>
      </c>
      <c r="E99" s="5" t="inlineStr">
        <is>
          <t>240.000,00</t>
        </is>
      </c>
      <c r="F99" s="4" t="inlineStr">
        <is>
          <t>5000.00</t>
        </is>
      </c>
    </row>
    <row collapsed="false" customFormat="false" customHeight="false" hidden="false" ht="12.1" outlineLevel="0" r="100">
      <c r="A100" s="5" t="s">
        <f>=HYPERLINK("https://www.leilaoonline.net/index.php/lote/detalhe/268945", "10020")</f>
      </c>
      <c r="B100" s="4" t="s">
        <f>=HYPERLINK("https://www.leilaoonline.net/index.php/lote/detalhe/268945", " TRATOR CASE MX 340; ANO 2018. - FR4435200. -  LOC. CAARAPÓ")</f>
      </c>
      <c r="C100" s="4" t="inlineStr">
        <is>
          <t>Vendido</t>
        </is>
      </c>
      <c r="D100" s="4" t="inlineStr">
        <is>
          <t>18</t>
        </is>
      </c>
      <c r="E100" s="5" t="inlineStr">
        <is>
          <t>185.000,00</t>
        </is>
      </c>
      <c r="F100" s="4" t="inlineStr">
        <is>
          <t>5000.00</t>
        </is>
      </c>
    </row>
    <row collapsed="false" customFormat="false" customHeight="false" hidden="false" ht="12.1" outlineLevel="0" r="101">
      <c r="A101" s="5" t="s">
        <f>=HYPERLINK("https://www.leilaoonline.net/index.php/lote/detalhe/268944", "10021")</f>
      </c>
      <c r="B101" s="4" t="s">
        <f>=HYPERLINK("https://www.leilaoonline.net/index.php/lote/detalhe/268944", "TRATOR CASE MX 340 REMAPEADO; ANO 2018. - FR4435193. - LOC. CAARAPÓ")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175.000,00</t>
        </is>
      </c>
      <c r="F101" s="4" t="inlineStr">
        <is>
          <t>5000.00</t>
        </is>
      </c>
    </row>
    <row collapsed="false" customFormat="false" customHeight="false" hidden="false" ht="12.1" outlineLevel="0" r="102">
      <c r="A102" s="5" t="s">
        <f>=HYPERLINK("https://www.leilaoonline.net/index.php/lote/detalhe/269099", "10084")</f>
      </c>
      <c r="B102" s="4" t="s">
        <f>=HYPERLINK("https://www.leilaoonline.net/index.php/lote/detalhe/269099", "TRATOR CASE MX 260; ANO 2017. - FR50958. - LOC. DIAMANTE")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=HYPERLINK("https://www.leilaoonline.net/index.php/lote/detalhe/269100", "10085")</f>
      </c>
      <c r="B103" s="4" t="s">
        <f>=HYPERLINK("https://www.leilaoonline.net/index.php/lote/detalhe/269100", "TRATOR CASE MX 260; ANO 2017. - FR188964. - LOC. DIAMANTE")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=HYPERLINK("https://www.leilaoonline.net/index.php/lote/detalhe/265883", "10087")</f>
      </c>
      <c r="B104" s="4" t="s">
        <f>=HYPERLINK("https://www.leilaoonline.net/index.php/lote/detalhe/265883", "CAMINHÃO VOLKSWAGEN CNC 6X4; ANO 2010/2010; BRANCA; (SEM MOTOR E SEM CÂMBIO); (CARROCERIA). - FR88170/ FR88606 - (VENDA SOMENTE PARA COMPRADORES DO ESTADO DE SÃO PAULO) - LOC. GASA")</f>
      </c>
      <c r="C104" s="4" t="inlineStr">
        <is>
          <t>Vendido</t>
        </is>
      </c>
      <c r="D104" s="4" t="inlineStr">
        <is>
          <t>25</t>
        </is>
      </c>
      <c r="E104" s="5" t="inlineStr">
        <is>
          <t>54.000,00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=HYPERLINK("https://www.leilaoonline.net/index.php/lote/detalhe/268154", "10197")</f>
      </c>
      <c r="B105" s="4" t="s">
        <f>=HYPERLINK("https://www.leilaoonline.net/index.php/lote/detalhe/268154", "ARADO IKEDA. - FR13003188. - LOC. MB")</f>
      </c>
      <c r="C105" s="4" t="inlineStr">
        <is>
          <t>Vendido</t>
        </is>
      </c>
      <c r="D105" s="4" t="inlineStr">
        <is>
          <t>25</t>
        </is>
      </c>
      <c r="E105" s="5" t="inlineStr">
        <is>
          <t>5.550,00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=HYPERLINK("https://www.leilaoonline.net/index.php/lote/detalhe/267791", "10250")</f>
      </c>
      <c r="B106" s="4" t="s">
        <f>=HYPERLINK("https://www.leilaoonline.net/index.php/lote/detalhe/267791", "CARRETA PARA TRANSPORTE DE TUBOS. - FR8004001. - LOC. LAGOA DA PRATA")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=HYPERLINK("https://www.leilaoonline.net/index.php/lote/detalhe/268392", "10357")</f>
      </c>
      <c r="B107" s="4" t="s">
        <f>=HYPERLINK("https://www.leilaoonline.net/index.php/lote/detalhe/268392", "DESENLEIRADOR PALHA CARDEROLI; ANO 2014. - FR84689. - LOC. BENALCOOL")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=HYPERLINK("https://www.leilaoonline.net/index.php/lote/detalhe/268387", "10358")</f>
      </c>
      <c r="B108" s="4" t="s">
        <f>=HYPERLINK("https://www.leilaoonline.net/index.php/lote/detalhe/268387", "SUBSOLADOR ASA LASER 5 HASTES;  ANO 2013. - FR84776. - LOC. BENALCOOL")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=HYPERLINK("https://www.leilaoonline.net/index.php/lote/detalhe/267847", "10360")</f>
      </c>
      <c r="B109" s="4" t="s">
        <f>=HYPERLINK("https://www.leilaoonline.net/index.php/lote/detalhe/267847", "TRATOR VALTRA SUCATEADO - S/FR - LOC. COSTA PINTO")</f>
      </c>
      <c r="C109" s="4" t="inlineStr">
        <is>
          <t>Vendido</t>
        </is>
      </c>
      <c r="D109" s="4" t="inlineStr">
        <is>
          <t>49</t>
        </is>
      </c>
      <c r="E109" s="5" t="inlineStr">
        <is>
          <t>30.250,00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=HYPERLINK("https://www.leilaoonline.net/index.php/lote/detalhe/267513", "10390")</f>
      </c>
      <c r="B110" s="4" t="s">
        <f>=HYPERLINK("https://www.leilaoonline.net/index.php/lote/detalhe/267513", "CARRETA ABRIGO ÁREA DE VIVÊNCIA PEQUENA; ANO 2012. - COR AZUL. - FR14004610. - LOC. SANTA ELISA")</f>
      </c>
      <c r="C110" s="4" t="inlineStr">
        <is>
          <t>Vendido</t>
        </is>
      </c>
      <c r="D110" s="4" t="inlineStr">
        <is>
          <t>28</t>
        </is>
      </c>
      <c r="E110" s="5" t="inlineStr">
        <is>
          <t>16.000,00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=HYPERLINK("https://www.leilaoonline.net/index.php/lote/detalhe/268155", "10395")</f>
      </c>
      <c r="B111" s="4" t="s">
        <f>=HYPERLINK("https://www.leilaoonline.net/index.php/lote/detalhe/268155", "SUCATA CAMINHÃO TANQUE (VENDA SEM DIREITO A  DOCUMENTAÇÃO) . - S/FR. - LOC. MB")</f>
      </c>
      <c r="C111" s="4" t="inlineStr">
        <is>
          <t>Vendido</t>
        </is>
      </c>
      <c r="D111" s="4" t="inlineStr">
        <is>
          <t>33</t>
        </is>
      </c>
      <c r="E111" s="5" t="inlineStr">
        <is>
          <t>43.000,00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=HYPERLINK("https://www.leilaoonline.net/index.php/lote/detalhe/268384", "10397")</f>
      </c>
      <c r="B112" s="4" t="s">
        <f>=HYPERLINK("https://www.leilaoonline.net/index.php/lote/detalhe/268384", "GRADE LEVE; ANO 1998. - FR84833. - LOC. BENALCOOL ")</f>
      </c>
      <c r="C112" s="4" t="inlineStr">
        <is>
          <t>Vendido</t>
        </is>
      </c>
      <c r="D112" s="4" t="inlineStr">
        <is>
          <t>30</t>
        </is>
      </c>
      <c r="E112" s="5" t="inlineStr">
        <is>
          <t>12.500,00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=HYPERLINK("https://www.leilaoonline.net/index.php/lote/detalhe/268386", "10398")</f>
      </c>
      <c r="B113" s="4" t="s">
        <f>=HYPERLINK("https://www.leilaoonline.net/index.php/lote/detalhe/268386", "GRADE ARADORA INTER. 26X28X7,5; ANO 2007. - FR173547. - LOC.BENALCOOL")</f>
      </c>
      <c r="C113" s="4" t="inlineStr">
        <is>
          <t>Vendido</t>
        </is>
      </c>
      <c r="D113" s="4" t="inlineStr">
        <is>
          <t>39</t>
        </is>
      </c>
      <c r="E113" s="5" t="inlineStr">
        <is>
          <t>15.000,00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=HYPERLINK("https://www.leilaoonline.net/index.php/lote/detalhe/269093", "10414")</f>
      </c>
      <c r="B114" s="4" t="s">
        <f>=HYPERLINK("https://www.leilaoonline.net/index.php/lote/detalhe/269093", "TRATOR CASE MAGNUM 260. - FR23244. - LOC. PARAÍSO")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=HYPERLINK("https://www.leilaoonline.net/index.php/lote/detalhe/269094", "10415")</f>
      </c>
      <c r="B115" s="4" t="s">
        <f>=HYPERLINK("https://www.leilaoonline.net/index.php/lote/detalhe/269094", "TRATOR CASE MAGNUM 260. - FR20375. - LOC. PARAÍSO")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80.000,00</t>
        </is>
      </c>
      <c r="F115" s="4" t="inlineStr">
        <is>
          <t>2500.00</t>
        </is>
      </c>
    </row>
    <row collapsed="false" customFormat="false" customHeight="false" hidden="false" ht="12.1" outlineLevel="0" r="116">
      <c r="A116" s="5" t="s">
        <f>=HYPERLINK("https://www.leilaoonline.net/index.php/lote/detalhe/268422", "10477")</f>
      </c>
      <c r="B116" s="4" t="s">
        <f>=HYPERLINK("https://www.leilaoonline.net/index.php/lote/detalhe/268422", "CAMINHÃO VOLKSWAGEN 15.180 EURO3 WORKER; ANO 2008/2008; BRANCA. - FR88203. - LOC. BENALCOOL")</f>
      </c>
      <c r="C116" s="4" t="inlineStr">
        <is>
          <t>Não vendido</t>
        </is>
      </c>
      <c r="D116" s="4" t="inlineStr">
        <is>
          <t>83</t>
        </is>
      </c>
      <c r="E116" s="5" t="inlineStr">
        <is>
          <t>122.000,00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=HYPERLINK("https://www.leilaoonline.net/index.php/lote/detalhe/268425", "10478")</f>
      </c>
      <c r="B117" s="4" t="s">
        <f>=HYPERLINK("https://www.leilaoonline.net/index.php/lote/detalhe/268425", "CAMINHÃO VOLKSWAGEN 15.180 EURO3 WORKER; ANO 2008/2008; BRANCA. - FR91232. - LOC. BENALCOOL")</f>
      </c>
      <c r="C117" s="4" t="inlineStr">
        <is>
          <t>Vendido</t>
        </is>
      </c>
      <c r="D117" s="4" t="inlineStr">
        <is>
          <t>73</t>
        </is>
      </c>
      <c r="E117" s="5" t="inlineStr">
        <is>
          <t>109.000,00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=HYPERLINK("https://www.leilaoonline.net/index.php/lote/detalhe/268410", "10479")</f>
      </c>
      <c r="B118" s="4" t="s">
        <f>=HYPERLINK("https://www.leilaoonline.net/index.php/lote/detalhe/268410", "CAMINHÃO VOLKSWAGEN 26.280 CRM 6X4; ANO 2014/2014; BRANCA. - FR173190/FR173561. - LOC. BENALCOOL ")</f>
      </c>
      <c r="C118" s="4" t="inlineStr">
        <is>
          <t>Vendido</t>
        </is>
      </c>
      <c r="D118" s="4" t="inlineStr">
        <is>
          <t>106</t>
        </is>
      </c>
      <c r="E118" s="5" t="inlineStr">
        <is>
          <t>167.000,00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=HYPERLINK("https://www.leilaoonline.net/index.php/lote/detalhe/268947", "10501")</f>
      </c>
      <c r="B119" s="4" t="s">
        <f>=HYPERLINK("https://www.leilaoonline.net/index.php/lote/detalhe/268947", " GRADE NIVELADORA; ANO 2018. - FR4445325. - LOC. CAARAPÓ")</f>
      </c>
      <c r="C119" s="4" t="inlineStr">
        <is>
          <t>Não vendido</t>
        </is>
      </c>
      <c r="D119" s="4" t="inlineStr">
        <is>
          <t>32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=HYPERLINK("https://www.leilaoonline.net/index.php/lote/detalhe/268948", "10503")</f>
      </c>
      <c r="B120" s="4" t="s">
        <f>=HYPERLINK("https://www.leilaoonline.net/index.php/lote/detalhe/268948", " GRADE NIVELADORA; ANO 2018. - FR4445326. - LOC. CAARAPÓ")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=HYPERLINK("https://www.leilaoonline.net/index.php/lote/detalhe/268949", "10524")</f>
      </c>
      <c r="B121" s="4" t="s">
        <f>=HYPERLINK("https://www.leilaoonline.net/index.php/lote/detalhe/268949", "MOTO BOMBA MWM 6.12 TCA; ANO 2007. - FR9005018. - LOC. PASSATEMPO")</f>
      </c>
      <c r="C121" s="4" t="inlineStr">
        <is>
          <t>Vendido</t>
        </is>
      </c>
      <c r="D121" s="4" t="inlineStr">
        <is>
          <t>22</t>
        </is>
      </c>
      <c r="E121" s="5" t="inlineStr">
        <is>
          <t>14.000,00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=HYPERLINK("https://www.leilaoonline.net/index.php/lote/detalhe/268951", "10525")</f>
      </c>
      <c r="B122" s="4" t="s">
        <f>=HYPERLINK("https://www.leilaoonline.net/index.php/lote/detalhe/268951", " MOTO BOMBA MWM 6.12 TCA; ANO 2008. - FR4005579. - LOC. PASSATEMPO")</f>
      </c>
      <c r="C122" s="4" t="inlineStr">
        <is>
          <t>Vendido</t>
        </is>
      </c>
      <c r="D122" s="4" t="inlineStr">
        <is>
          <t>17</t>
        </is>
      </c>
      <c r="E122" s="5" t="inlineStr">
        <is>
          <t>19.500,00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=HYPERLINK("https://www.leilaoonline.net/index.php/lote/detalhe/266934", "10611")</f>
      </c>
      <c r="B123" s="4" t="s">
        <f>=HYPERLINK("https://www.leilaoonline.net/index.php/lote/detalhe/266934", "SULCADOR DMB. - FR57230. - LOC. PARAÍSO")</f>
      </c>
      <c r="C123" s="4" t="inlineStr">
        <is>
          <t>Vendido</t>
        </is>
      </c>
      <c r="D123" s="4" t="inlineStr">
        <is>
          <t>17</t>
        </is>
      </c>
      <c r="E123" s="5" t="inlineStr">
        <is>
          <t>5.750,00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=HYPERLINK("https://www.leilaoonline.net/index.php/lote/detalhe/268150", "10679")</f>
      </c>
      <c r="B124" s="4" t="s">
        <f>=HYPERLINK("https://www.leilaoonline.net/index.php/lote/detalhe/268150", "DOLLY RANDON, ANO 2007; (VENDA SEM DIREITO A DOCUMENTAÇÃO.) . - FR91901 - LOC. VALE DO ROSÁRIO")</f>
      </c>
      <c r="C124" s="4" t="inlineStr">
        <is>
          <t>Vendido</t>
        </is>
      </c>
      <c r="D124" s="4" t="inlineStr">
        <is>
          <t>14</t>
        </is>
      </c>
      <c r="E124" s="5" t="inlineStr">
        <is>
          <t>13.500,00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=HYPERLINK("https://www.leilaoonline.net/index.php/lote/detalhe/266306", "10751")</f>
      </c>
      <c r="B125" s="4" t="s">
        <f>=HYPERLINK("https://www.leilaoonline.net/index.php/lote/detalhe/266306", " TRATOR JOHN DEERE 7225J. - ANO 2015 - FR7011585. - LOC. BARRA ")</f>
      </c>
      <c r="C125" s="4" t="inlineStr">
        <is>
          <t>Não vendido</t>
        </is>
      </c>
      <c r="D125" s="4" t="inlineStr">
        <is>
          <t>58</t>
        </is>
      </c>
      <c r="E125" s="5" t="inlineStr">
        <is>
          <t>85.000,00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=HYPERLINK("https://www.leilaoonline.net/index.php/lote/detalhe/269097", "10761")</f>
      </c>
      <c r="B126" s="4" t="s">
        <f>=HYPERLINK("https://www.leilaoonline.net/index.php/lote/detalhe/269097", "TRATOR CASE 260; ANO 2017. - FR20381. - LOC. PARAISO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80.000,00</t>
        </is>
      </c>
      <c r="F126" s="4" t="inlineStr">
        <is>
          <t>2500.00</t>
        </is>
      </c>
    </row>
    <row collapsed="false" customFormat="false" customHeight="false" hidden="false" ht="12.1" outlineLevel="0" r="127">
      <c r="A127" s="5" t="s">
        <f>=HYPERLINK("https://www.leilaoonline.net/index.php/lote/detalhe/269101", "10835")</f>
      </c>
      <c r="B127" s="4" t="s">
        <f>=HYPERLINK("https://www.leilaoonline.net/index.php/lote/detalhe/269101", "TORRE DE OBSERVAÇÃO. - S/FR. - LOC. VALE DO ROSÁRIO")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=HYPERLINK("https://www.leilaoonline.net/index.php/lote/detalhe/267832", "10866")</f>
      </c>
      <c r="B128" s="4" t="s">
        <f>=HYPERLINK("https://www.leilaoonline.net/index.php/lote/detalhe/267832", "SEMI REBOQUE RANDON SP SRBS IN (TANQUE VINHAÇA), ANO: 2010/2010, AZUL - FR22557 - LOC. COSTA PINTO")</f>
      </c>
      <c r="C128" s="4" t="inlineStr">
        <is>
          <t>Vendido</t>
        </is>
      </c>
      <c r="D128" s="4" t="inlineStr">
        <is>
          <t>78</t>
        </is>
      </c>
      <c r="E128" s="5" t="inlineStr">
        <is>
          <t>122.000,00</t>
        </is>
      </c>
      <c r="F128" s="4" t="inlineStr">
        <is>
          <t>2000.00</t>
        </is>
      </c>
    </row>
    <row collapsed="false" customFormat="false" customHeight="false" hidden="false" ht="12.1" outlineLevel="0" r="129">
      <c r="A129" s="5" t="s">
        <f>=HYPERLINK("https://www.leilaoonline.net/index.php/lote/detalhe/267834", "10867")</f>
      </c>
      <c r="B129" s="4" t="s">
        <f>=HYPERLINK("https://www.leilaoonline.net/index.php/lote/detalhe/267834", "SEMI REBOQUE RANDON SP SRBS IN (TANQUE VINHAÇA), ANO: 2010/2010, AZUL; DOLLY RANDON ANO 2008 - FR56224/ FR66207 - (DOLLY VENDA SEM DOCUMENTO) - LOC. COSTA PINTO")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124.500,00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=HYPERLINK("https://www.leilaoonline.net/index.php/lote/detalhe/267835", "10873")</f>
      </c>
      <c r="B130" s="4" t="s">
        <f>=HYPERLINK("https://www.leilaoonline.net/index.php/lote/detalhe/267835", "SEMI REBOQUE RODOLINEA RODOTQ 2E (TANQUE VINHAÇA), ANO: 2013/2013, CINZA - FR163816 - LOC. COSTA PINTO")</f>
      </c>
      <c r="C130" s="4" t="inlineStr">
        <is>
          <t>Vendido</t>
        </is>
      </c>
      <c r="D130" s="4" t="inlineStr">
        <is>
          <t>50</t>
        </is>
      </c>
      <c r="E130" s="5" t="inlineStr">
        <is>
          <t>95.500,00</t>
        </is>
      </c>
      <c r="F130" s="4" t="inlineStr">
        <is>
          <t>1500.00</t>
        </is>
      </c>
    </row>
    <row collapsed="false" customFormat="false" customHeight="false" hidden="false" ht="12.1" outlineLevel="0" r="131">
      <c r="A131" s="5" t="s">
        <f>=HYPERLINK("https://www.leilaoonline.net/index.php/lote/detalhe/267836", "10875")</f>
      </c>
      <c r="B131" s="4" t="s">
        <f>=HYPERLINK("https://www.leilaoonline.net/index.php/lote/detalhe/267836", "SEMI REBOQUE SERGOMEL SRB 2E (TANQUE VINHAÇA), ANO: 2014/2014, CINZA; DOLLY RANDON ANO: 2007 (DOLLY VENDA SEM DOCUMENTO) - FR140503/ FR97961 - LOC. COSTA PINTO")</f>
      </c>
      <c r="C131" s="4" t="inlineStr">
        <is>
          <t>Vendido</t>
        </is>
      </c>
      <c r="D131" s="4" t="inlineStr">
        <is>
          <t>43</t>
        </is>
      </c>
      <c r="E131" s="5" t="inlineStr">
        <is>
          <t>87.500,00</t>
        </is>
      </c>
      <c r="F131" s="4" t="inlineStr">
        <is>
          <t>1500.00</t>
        </is>
      </c>
    </row>
    <row collapsed="false" customFormat="false" customHeight="false" hidden="false" ht="12.1" outlineLevel="0" r="132">
      <c r="A132" s="5" t="s">
        <f>=HYPERLINK("https://www.leilaoonline.net/index.php/lote/detalhe/268441", "10879")</f>
      </c>
      <c r="B132" s="4" t="s">
        <f>=HYPERLINK("https://www.leilaoonline.net/index.php/lote/detalhe/268441", "CAMINHÃO MERCEDES BENZ AXOR 3344 6X4; ANO 2013/2013; (VENDA S/ CÂMBIO) . - FR131235.- LOC. COSTA PINTO ")</f>
      </c>
      <c r="C132" s="4" t="inlineStr">
        <is>
          <t>Vendido</t>
        </is>
      </c>
      <c r="D132" s="4" t="inlineStr">
        <is>
          <t>85</t>
        </is>
      </c>
      <c r="E132" s="5" t="inlineStr">
        <is>
          <t>168.000,00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=HYPERLINK("https://www.leilaoonline.net/index.php/lote/detalhe/267830", "10883")</f>
      </c>
      <c r="B133" s="4" t="s">
        <f>=HYPERLINK("https://www.leilaoonline.net/index.php/lote/detalhe/267830", "SEMI REBOQUE RANDON SP SRCA CA, ANO 2012/2013, CINZA - FR66211 - LOC. RAFARD")</f>
      </c>
      <c r="C133" s="4" t="inlineStr">
        <is>
          <t>Não vendido</t>
        </is>
      </c>
      <c r="D133" s="4" t="inlineStr">
        <is>
          <t>33</t>
        </is>
      </c>
      <c r="E133" s="5" t="inlineStr">
        <is>
          <t>86.000,00</t>
        </is>
      </c>
      <c r="F133" s="4" t="inlineStr">
        <is>
          <t>1500.00</t>
        </is>
      </c>
    </row>
    <row collapsed="false" customFormat="false" customHeight="false" hidden="false" ht="12.1" outlineLevel="0" r="134">
      <c r="A134" s="5" t="s">
        <f>=HYPERLINK("https://www.leilaoonline.net/index.php/lote/detalhe/267792", "10884")</f>
      </c>
      <c r="B134" s="4" t="s">
        <f>=HYPERLINK("https://www.leilaoonline.net/index.php/lote/detalhe/267792", "REBOQUE RANDON SP RQ CA, ANO: 2013/2014, CINZA  - FR56369 - LOC. RAFARD")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91.500,00</t>
        </is>
      </c>
      <c r="F134" s="4" t="inlineStr">
        <is>
          <t>1500.00</t>
        </is>
      </c>
    </row>
    <row collapsed="false" customFormat="false" customHeight="false" hidden="false" ht="12.1" outlineLevel="0" r="135">
      <c r="A135" s="5" t="s">
        <f>=HYPERLINK("https://www.leilaoonline.net/index.php/lote/detalhe/267787", "10889")</f>
      </c>
      <c r="B135" s="4" t="s">
        <f>=HYPERLINK("https://www.leilaoonline.net/index.php/lote/detalhe/267787", " TRATOR CASE PUMA 230 4X4; ANO 2017. - FR50951. - LOC. BOM RETIRO")</f>
      </c>
      <c r="C135" s="4" t="inlineStr">
        <is>
          <t>Não vendido</t>
        </is>
      </c>
      <c r="D135" s="4" t="inlineStr">
        <is>
          <t>14</t>
        </is>
      </c>
      <c r="E135" s="5" t="inlineStr">
        <is>
          <t>66.000,00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=HYPERLINK("https://www.leilaoonline.net/index.php/lote/detalhe/267838", "10890")</f>
      </c>
      <c r="B136" s="4" t="s">
        <f>=HYPERLINK("https://www.leilaoonline.net/index.php/lote/detalhe/267838", "CAMINHÃO MERCEDES BENZ/ L 1214L, ANO 1995/ 1995, BRANCA, FR71275 - CARROCERIA MADEIRA - LOC.: BOM RETIRO")</f>
      </c>
      <c r="C136" s="4" t="inlineStr">
        <is>
          <t>Não vendido</t>
        </is>
      </c>
      <c r="D136" s="4" t="inlineStr">
        <is>
          <t>55</t>
        </is>
      </c>
      <c r="E136" s="5" t="inlineStr">
        <is>
          <t>78.000,00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=HYPERLINK("https://www.leilaoonline.net/index.php/lote/detalhe/267788", "10892")</f>
      </c>
      <c r="B137" s="4" t="s">
        <f>=HYPERLINK("https://www.leilaoonline.net/index.php/lote/detalhe/267788", " LOTE DE EQUIPAMENTOS LABORATORIAIS. - S/FR. - LOC. LEME")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1.500,00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=HYPERLINK("https://www.leilaoonline.net/index.php/lote/detalhe/268412", "10894")</f>
      </c>
      <c r="B138" s="4" t="s">
        <f>=HYPERLINK("https://www.leilaoonline.net/index.php/lote/detalhe/268412", "TRATOR VALTRA BH 210I 4X4; ANO 2014; ( SEM CÂMBIO). - FR173323. - LOC. BENALCOOL")</f>
      </c>
      <c r="C138" s="4" t="inlineStr">
        <is>
          <t>Vendido</t>
        </is>
      </c>
      <c r="D138" s="4" t="inlineStr">
        <is>
          <t>69</t>
        </is>
      </c>
      <c r="E138" s="5" t="inlineStr">
        <is>
          <t>107.000,00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=HYPERLINK("https://www.leilaoonline.net/index.php/lote/detalhe/265874", "11031")</f>
      </c>
      <c r="B139" s="4" t="s">
        <f>=HYPERLINK("https://www.leilaoonline.net/index.php/lote/detalhe/265874", "REDUTOR FLENDER PSDF260/450; ANO 2009. - PT 170583. - LOC. CAARAPÓ")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3.500,00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=HYPERLINK("https://www.leilaoonline.net/index.php/lote/detalhe/265875", "11032")</f>
      </c>
      <c r="B140" s="4" t="s">
        <f>=HYPERLINK("https://www.leilaoonline.net/index.php/lote/detalhe/265875", "COMPREENSOR SCHULZ SRP 4050; ANO 2016. - PT 192604 / PT 192605. - LOC. CAARAPÓ")</f>
      </c>
      <c r="C140" s="4" t="inlineStr">
        <is>
          <t>Vendido</t>
        </is>
      </c>
      <c r="D140" s="4" t="inlineStr">
        <is>
          <t>55</t>
        </is>
      </c>
      <c r="E140" s="5" t="inlineStr">
        <is>
          <t>44.000,00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=HYPERLINK("https://www.leilaoonline.net/index.php/lote/detalhe/266936", "11043")</f>
      </c>
      <c r="B141" s="4" t="s">
        <f>=HYPERLINK("https://www.leilaoonline.net/index.php/lote/detalhe/266936", "APROX. 25 RODAS E PNEUS SUCATEADOS. - S/FR. - LOC. UNIVALEM ")</f>
      </c>
      <c r="C141" s="4" t="inlineStr">
        <is>
          <t>Vendido</t>
        </is>
      </c>
      <c r="D141" s="4" t="inlineStr">
        <is>
          <t>14</t>
        </is>
      </c>
      <c r="E141" s="5" t="inlineStr">
        <is>
          <t>7.250,00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=HYPERLINK("https://www.leilaoonline.net/index.php/lote/detalhe/266769", "11050")</f>
      </c>
      <c r="B142" s="4" t="s">
        <f>=HYPERLINK("https://www.leilaoonline.net/index.php/lote/detalhe/266769", "APROXIMADAMENTE 79 PNEUS DIVERSOS USADOS ;( VEJA DESCRITIVO) . - S/FR. - LOC. BARRA ")</f>
      </c>
      <c r="C142" s="4" t="inlineStr">
        <is>
          <t>Vendido</t>
        </is>
      </c>
      <c r="D142" s="4" t="inlineStr">
        <is>
          <t>27</t>
        </is>
      </c>
      <c r="E142" s="5" t="inlineStr">
        <is>
          <t>9.750,00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=HYPERLINK("https://www.leilaoonline.net/index.php/lote/detalhe/266918", "11051")</f>
      </c>
      <c r="B143" s="4" t="s">
        <f>=HYPERLINK("https://www.leilaoonline.net/index.php/lote/detalhe/266918", "TRATOR CASE 260 NAVEGATION CONTROLLER LI 5442507; ANO 2014. - FR163504. - LOC. DESTIVALE")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80.000,00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=HYPERLINK("https://www.leilaoonline.net/index.php/lote/detalhe/266920", "11052")</f>
      </c>
      <c r="B144" s="4" t="s">
        <f>=HYPERLINK("https://www.leilaoonline.net/index.php/lote/detalhe/266920", "VEJA VÍDEO!! CAMINHÃO MERCEDES BENZ AXOR 3344S 6X4; ANO 2016/2016; BRANCA. - FR4415061. - LOC. GASA")</f>
      </c>
      <c r="C144" s="4" t="inlineStr">
        <is>
          <t>Não vendido</t>
        </is>
      </c>
      <c r="D144" s="4" t="inlineStr">
        <is>
          <t>100</t>
        </is>
      </c>
      <c r="E144" s="5" t="inlineStr">
        <is>
          <t>186.000,00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=HYPERLINK("https://www.leilaoonline.net/index.php/lote/detalhe/266922", "11053")</f>
      </c>
      <c r="B145" s="4" t="s">
        <f>=HYPERLINK("https://www.leilaoonline.net/index.php/lote/detalhe/266922", "VEJA VÍDEO!! CAMINHÃO VOLKSWAGEN 31.330 BMB CRC CM; ANO 2012/2012; BRANCA. - FR360462. - LOC. GASA ")</f>
      </c>
      <c r="C145" s="4" t="inlineStr">
        <is>
          <t>Vendido</t>
        </is>
      </c>
      <c r="D145" s="4" t="inlineStr">
        <is>
          <t>97</t>
        </is>
      </c>
      <c r="E145" s="5" t="inlineStr">
        <is>
          <t>136.000,00</t>
        </is>
      </c>
      <c r="F145" s="4" t="inlineStr">
        <is>
          <t>2000.00</t>
        </is>
      </c>
    </row>
    <row collapsed="false" customFormat="false" customHeight="false" hidden="false" ht="12.1" outlineLevel="0" r="146">
      <c r="A146" s="5" t="s">
        <f>=HYPERLINK("https://www.leilaoonline.net/index.php/lote/detalhe/266923", "11054")</f>
      </c>
      <c r="B146" s="4" t="s">
        <f>=HYPERLINK("https://www.leilaoonline.net/index.php/lote/detalhe/266923", "VEJA VÍDEO!!! CAMINHÃO MERCEDES BENZ AXOR 3344S 6X4; ANO 2016/2016; BRANCA. - FR4415059. - LOC. GASA ")</f>
      </c>
      <c r="C146" s="4" t="inlineStr">
        <is>
          <t>Vendido</t>
        </is>
      </c>
      <c r="D146" s="4" t="inlineStr">
        <is>
          <t>103</t>
        </is>
      </c>
      <c r="E146" s="5" t="inlineStr">
        <is>
          <t>203.000,00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=HYPERLINK("https://www.leilaoonline.net/index.php/lote/detalhe/266924", "11055")</f>
      </c>
      <c r="B147" s="4" t="s">
        <f>=HYPERLINK("https://www.leilaoonline.net/index.php/lote/detalhe/266924", "TRATOR CASE 235; ANO 2014. - FR61036. - LOC. DESTIVALE ")</f>
      </c>
      <c r="C147" s="4" t="inlineStr">
        <is>
          <t>Vendido</t>
        </is>
      </c>
      <c r="D147" s="4" t="inlineStr">
        <is>
          <t>44</t>
        </is>
      </c>
      <c r="E147" s="5" t="inlineStr">
        <is>
          <t>70.000,00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=HYPERLINK("https://www.leilaoonline.net/index.php/lote/detalhe/266941", "11056")</f>
      </c>
      <c r="B148" s="4" t="s">
        <f>=HYPERLINK("https://www.leilaoonline.net/index.php/lote/detalhe/266941", "VEJA VÍDEO!! CAMINHÃO MERCEDES BENZ 3344S 6X4; ANO 2014/2014; BRANCA. - FR10637. - LOC. GASA")</f>
      </c>
      <c r="C148" s="4" t="inlineStr">
        <is>
          <t>Vendido</t>
        </is>
      </c>
      <c r="D148" s="4" t="inlineStr">
        <is>
          <t>121</t>
        </is>
      </c>
      <c r="E148" s="5" t="inlineStr">
        <is>
          <t>166.000,00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=HYPERLINK("https://www.leilaoonline.net/index.php/lote/detalhe/267125", "11058")</f>
      </c>
      <c r="B149" s="4" t="s">
        <f>=HYPERLINK("https://www.leilaoonline.net/index.php/lote/detalhe/267125", "BARCAÇA FLORESTA;  (SERÁ VENDIDO SEM O RÁDIO E SEM O BORDO); ( VEJA DESCRITIVO). - FR70067. -  LOC. DIAMANTE")</f>
      </c>
      <c r="C149" s="4" t="inlineStr">
        <is>
          <t>Vendido</t>
        </is>
      </c>
      <c r="D149" s="4" t="inlineStr">
        <is>
          <t>126</t>
        </is>
      </c>
      <c r="E149" s="5" t="inlineStr">
        <is>
          <t>338.000,00</t>
        </is>
      </c>
      <c r="F149" s="4" t="inlineStr">
        <is>
          <t>5000.00</t>
        </is>
      </c>
    </row>
    <row collapsed="false" customFormat="false" customHeight="false" hidden="false" ht="12.1" outlineLevel="0" r="150">
      <c r="A150" s="5" t="s">
        <f>=HYPERLINK("https://www.leilaoonline.net/index.php/lote/detalhe/267126", "11059")</f>
      </c>
      <c r="B150" s="4" t="s">
        <f>=HYPERLINK("https://www.leilaoonline.net/index.php/lote/detalhe/267126", "EMPURRADOR R V; (SERÁ VENDIDO SEM O RÁDIO E SEM O BORDO); (VEJA DESCRITIVO) . - FR70033. -  LOC. DIAMANTE")</f>
      </c>
      <c r="C150" s="4" t="inlineStr">
        <is>
          <t>Vendido</t>
        </is>
      </c>
      <c r="D150" s="4" t="inlineStr">
        <is>
          <t>213</t>
        </is>
      </c>
      <c r="E150" s="5" t="inlineStr">
        <is>
          <t>650.000,00</t>
        </is>
      </c>
      <c r="F150" s="4" t="inlineStr">
        <is>
          <t>10000.00</t>
        </is>
      </c>
    </row>
    <row collapsed="false" customFormat="false" customHeight="false" hidden="false" ht="12.1" outlineLevel="0" r="151">
      <c r="A151" s="5" t="s">
        <f>=HYPERLINK("https://www.leilaoonline.net/index.php/lote/detalhe/267525", "11060")</f>
      </c>
      <c r="B151" s="4" t="s">
        <f>=HYPERLINK("https://www.leilaoonline.net/index.php/lote/detalhe/267525", "MINI PÁ CARREGADORA CATERPILLAR 226B3; ANO 2013. - FR163553. - LOC. JATAI")</f>
      </c>
      <c r="C151" s="4" t="inlineStr">
        <is>
          <t>Vendido</t>
        </is>
      </c>
      <c r="D151" s="4" t="inlineStr">
        <is>
          <t>34</t>
        </is>
      </c>
      <c r="E151" s="5" t="inlineStr">
        <is>
          <t>59.000,00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=HYPERLINK("https://www.leilaoonline.net/index.php/lote/detalhe/268132", "11061")</f>
      </c>
      <c r="B152" s="4" t="s">
        <f>=HYPERLINK("https://www.leilaoonline.net/index.php/lote/detalhe/268132", "EQUIPAMENTO DE LABORATÓRIO LECO. - FR-528. - DETERMINADOR DE NITROGÊNIO/PROTEÍNA - LOC. BIOPARQUE SANTA CÂNDIDA")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=HYPERLINK("https://www.leilaoonline.net/index.php/lote/detalhe/268164", "11062")</f>
      </c>
      <c r="B153" s="4" t="s">
        <f>=HYPERLINK("https://www.leilaoonline.net/index.php/lote/detalhe/268164", "APROXIMADAMENTE 100 UNIDADES DE PALLETS; (VENDA POR UNIDADE ) . - S/FR. - LOC. JATAI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200,00</t>
        </is>
      </c>
      <c r="F153" s="4" t="inlineStr">
        <is>
          <t>1.00</t>
        </is>
      </c>
    </row>
    <row collapsed="false" customFormat="false" customHeight="false" hidden="false" ht="12.1" outlineLevel="0" r="154">
      <c r="A154" s="5" t="s">
        <f>=HYPERLINK("https://www.leilaoonline.net/index.php/lote/detalhe/268648", "11063")</f>
      </c>
      <c r="B154" s="4" t="s">
        <f>=HYPERLINK("https://www.leilaoonline.net/index.php/lote/detalhe/268648", "CAMINHÃO VOLKSWAGEN 31.320 CNC 6X4; ANO 2011/2012; BRANCA. - FR112235. - LOC. DIAMANTE")</f>
      </c>
      <c r="C154" s="4" t="inlineStr">
        <is>
          <t>Vendido</t>
        </is>
      </c>
      <c r="D154" s="4" t="inlineStr">
        <is>
          <t>110</t>
        </is>
      </c>
      <c r="E154" s="5" t="inlineStr">
        <is>
          <t>153.000,00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=HYPERLINK("https://www.leilaoonline.net/index.php/lote/detalhe/269314", "11064")</f>
      </c>
      <c r="B155" s="4" t="s">
        <f>=HYPERLINK("https://www.leilaoonline.net/index.php/lote/detalhe/269314", "TRATOR VALTRA BH 210I 4x4 ; ANO 2015. - FR100750. -  LOC. DIAMANTE")</f>
      </c>
      <c r="C155" s="4" t="inlineStr">
        <is>
          <t>Não vendido</t>
        </is>
      </c>
      <c r="D155" s="4" t="inlineStr">
        <is>
          <t>29</t>
        </is>
      </c>
      <c r="E155" s="5" t="inlineStr">
        <is>
          <t>122.000,00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=HYPERLINK("https://www.leilaoonline.net/index.php/lote/detalhe/267515", "11537")</f>
      </c>
      <c r="B156" s="4" t="s">
        <f>=HYPERLINK("https://www.leilaoonline.net/index.php/lote/detalhe/267515", "SUCATA  DE CAMINHÃO MERCEDES BENZ 1718; ANO 2010/2011; BRANCA; (C/ BAÚ OFICINA FACHINNI). - FR14801204. - (VENDA S/ DOCUMENTO). - LOC. SANTA ELISA ")</f>
      </c>
      <c r="C156" s="4" t="inlineStr">
        <is>
          <t>Não vendido</t>
        </is>
      </c>
      <c r="D156" s="4" t="inlineStr">
        <is>
          <t>37</t>
        </is>
      </c>
      <c r="E156" s="5" t="inlineStr">
        <is>
          <t>46.000,00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=HYPERLINK("https://www.leilaoonline.net/index.php/lote/detalhe/267516", "11538")</f>
      </c>
      <c r="B157" s="4" t="s">
        <f>=HYPERLINK("https://www.leilaoonline.net/index.php/lote/detalhe/267516", "SUCATA DE CAMINHÃO MERCEDES BENZ 1718; ANO 2010/2011; BRANCA. - (C/ BAÚ OFICINA JHC). - FR12801027. - ( VENDA S/ DOCUMENTO). - LOC. SANTA ELISA")</f>
      </c>
      <c r="C157" s="4" t="inlineStr">
        <is>
          <t>Vendido</t>
        </is>
      </c>
      <c r="D157" s="4" t="inlineStr">
        <is>
          <t>32</t>
        </is>
      </c>
      <c r="E157" s="5" t="inlineStr">
        <is>
          <t>42.000,00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=HYPERLINK("https://www.leilaoonline.net/index.php/lote/detalhe/267517", "11539")</f>
      </c>
      <c r="B158" s="4" t="s">
        <f>=HYPERLINK("https://www.leilaoonline.net/index.php/lote/detalhe/267517", "SUCATA DE CAMINHÃO MERCEDES BENZ 1718; ANO 2010/2011; BRANCA; (C/ BAÚ OFICINA JHC). - FR14801180. - (VENDA S/ DOCUMENTO). - LOC. SANTA ELISA ")</f>
      </c>
      <c r="C158" s="4" t="inlineStr">
        <is>
          <t>Não vendido</t>
        </is>
      </c>
      <c r="D158" s="4" t="inlineStr">
        <is>
          <t>37</t>
        </is>
      </c>
      <c r="E158" s="5" t="inlineStr">
        <is>
          <t>47.000,00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=HYPERLINK("https://www.leilaoonline.net/index.php/lote/detalhe/267518", "11540")</f>
      </c>
      <c r="B159" s="4" t="s">
        <f>=HYPERLINK("https://www.leilaoonline.net/index.php/lote/detalhe/267518", "SUCATA DE CAMINHÃO MERCEDES BENZ 1718; ANO 2010/2011; BRANCA; (C/ BAÚ OFICINA JHC). - FR14801178. - ( VENDA S/ DOCUMENTO). - LOC. SANTA ELISA ")</f>
      </c>
      <c r="C159" s="4" t="inlineStr">
        <is>
          <t>Não vendido</t>
        </is>
      </c>
      <c r="D159" s="4" t="inlineStr">
        <is>
          <t>39</t>
        </is>
      </c>
      <c r="E159" s="5" t="inlineStr">
        <is>
          <t>48.000,00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=HYPERLINK("https://www.leilaoonline.net/index.php/lote/detalhe/267519", "11541")</f>
      </c>
      <c r="B160" s="4" t="s">
        <f>=HYPERLINK("https://www.leilaoonline.net/index.php/lote/detalhe/267519", "SUCATA DE CAMINHÃO MERCEDES BENZ 1718; ANO 2010/2011; BRANCA; (C/ BAÚ OFICINA GASCOM). - FR12801028. - (VENDA S/ DOCUMENTO). - LOC. SANTA ELISA")</f>
      </c>
      <c r="C160" s="4" t="inlineStr">
        <is>
          <t>Não vendido</t>
        </is>
      </c>
      <c r="D160" s="4" t="inlineStr">
        <is>
          <t>40</t>
        </is>
      </c>
      <c r="E160" s="5" t="inlineStr">
        <is>
          <t>49.000,00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=HYPERLINK("https://www.leilaoonline.net/index.php/lote/detalhe/267520", "11542")</f>
      </c>
      <c r="B161" s="4" t="s">
        <f>=HYPERLINK("https://www.leilaoonline.net/index.php/lote/detalhe/267520", "SUCATA DE CAMINHÃO MERCEDES BENZ 1718; ANO 2011/2012; BRANCA; (C/ BAÚ OFICINA GASCOM). - FR14801213. - ( VENDA S/ DOCUMENTO) . - LOC. SANTA ELISA ")</f>
      </c>
      <c r="C161" s="4" t="inlineStr">
        <is>
          <t>Não vendido</t>
        </is>
      </c>
      <c r="D161" s="4" t="inlineStr">
        <is>
          <t>37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=HYPERLINK("https://www.leilaoonline.net/index.php/lote/detalhe/267521", "11544")</f>
      </c>
      <c r="B162" s="4" t="s">
        <f>=HYPERLINK("https://www.leilaoonline.net/index.php/lote/detalhe/267521", "MOTOR TRATOR CASE. - S/FR. - LOC. SANTA ELISA")</f>
      </c>
      <c r="C162" s="4" t="inlineStr">
        <is>
          <t>Vendido</t>
        </is>
      </c>
      <c r="D162" s="4" t="inlineStr">
        <is>
          <t>6</t>
        </is>
      </c>
      <c r="E162" s="5" t="inlineStr">
        <is>
          <t>6.000,00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=HYPERLINK("https://www.leilaoonline.net/index.php/lote/detalhe/265873", "11546")</f>
      </c>
      <c r="B163" s="4" t="s">
        <f>=HYPERLINK("https://www.leilaoonline.net/index.php/lote/detalhe/265873", "REDUTOR DE VELOCIDADE FALK DA ESTEIRA DE CANA PICADA. - PAT. RED-MB-0072. - LOC. MB")</f>
      </c>
      <c r="C163" s="4" t="inlineStr">
        <is>
          <t>Vendido</t>
        </is>
      </c>
      <c r="D163" s="4" t="inlineStr">
        <is>
          <t>9</t>
        </is>
      </c>
      <c r="E163" s="5" t="inlineStr">
        <is>
          <t>13.000,00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=HYPERLINK("https://www.leilaoonline.net/index.php/lote/detalhe/268161", "11547")</f>
      </c>
      <c r="B164" s="4" t="s">
        <f>=HYPERLINK("https://www.leilaoonline.net/index.php/lote/detalhe/268161", "ELETROIMÃ. - PAT. 00031500. - LOC. MB")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5.250,00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=HYPERLINK("https://www.leilaoonline.net/index.php/lote/detalhe/268152", "11550")</f>
      </c>
      <c r="B165" s="4" t="s">
        <f>=HYPERLINK("https://www.leilaoonline.net/index.php/lote/detalhe/268152", "PLANTADORA DE TORTA. - S/FR. - LOC. VALE DO ROSÁRIO")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=HYPERLINK("https://www.leilaoonline.net/index.php/lote/detalhe/265871", "11592")</f>
      </c>
      <c r="B166" s="4" t="s">
        <f>=HYPERLINK("https://www.leilaoonline.net/index.php/lote/detalhe/265871", "BOMBA CENTRIFUGA VAZAO 400 M3H ENVIROTECH 8X8 SRC E REDUTOR. - FR57084/FR58937. - LOC. COSTA PINTO ")</f>
      </c>
      <c r="C166" s="4" t="inlineStr">
        <is>
          <t>Vendido</t>
        </is>
      </c>
      <c r="D166" s="4" t="inlineStr">
        <is>
          <t>4</t>
        </is>
      </c>
      <c r="E166" s="5" t="inlineStr">
        <is>
          <t>2.250,00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=HYPERLINK("https://www.leilaoonline.net/index.php/lote/detalhe/267789", "11594")</f>
      </c>
      <c r="B167" s="4" t="s">
        <f>=HYPERLINK("https://www.leilaoonline.net/index.php/lote/detalhe/267789", " LOTE DE 35 PECAS DE RTK JONH DEERE. - S/FR. - LOC. LEME")</f>
      </c>
      <c r="C167" s="4" t="inlineStr">
        <is>
          <t>Vendido</t>
        </is>
      </c>
      <c r="D167" s="4" t="inlineStr">
        <is>
          <t>53</t>
        </is>
      </c>
      <c r="E167" s="5" t="inlineStr">
        <is>
          <t>40.500,00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=HYPERLINK("https://www.leilaoonline.net/index.php/lote/detalhe/268174", "11595")</f>
      </c>
      <c r="B168" s="4" t="s">
        <f>=HYPERLINK("https://www.leilaoonline.net/index.php/lote/detalhe/268174", "TRATOR CASE MX 235 MAGNUM 4x4, ANO 2014, FR61033 - LOC.: SANTA HELENA")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45.000,00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=HYPERLINK("https://www.leilaoonline.net/index.php/lote/detalhe/268438", "11616")</f>
      </c>
      <c r="B169" s="4" t="s">
        <f>=HYPERLINK("https://www.leilaoonline.net/index.php/lote/detalhe/268438", "CAMINHÃO MERCEDES BENZ ATEGO 2730K 6X4CE; ANO 2017/2018; BRANCA;(VENDA SEM DIREITO A DOCUMENTAÇÃO). - FR173176. - LOC. BENALCOOL")</f>
      </c>
      <c r="C169" s="4" t="inlineStr">
        <is>
          <t>Vendido</t>
        </is>
      </c>
      <c r="D169" s="4" t="inlineStr">
        <is>
          <t>37</t>
        </is>
      </c>
      <c r="E169" s="5" t="inlineStr">
        <is>
          <t>67.000,00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=HYPERLINK("https://www.leilaoonline.net/index.php/lote/detalhe/266925", "11626")</f>
      </c>
      <c r="B170" s="4" t="s">
        <f>=HYPERLINK("https://www.leilaoonline.net/index.php/lote/detalhe/266925", " TRATOR CASE 235; ANO 2014. - FR23241. - LOC. UNIVALEM ")</f>
      </c>
      <c r="C170" s="4" t="inlineStr">
        <is>
          <t>Vendido</t>
        </is>
      </c>
      <c r="D170" s="4" t="inlineStr">
        <is>
          <t>19</t>
        </is>
      </c>
      <c r="E170" s="5" t="inlineStr">
        <is>
          <t>58.500,00</t>
        </is>
      </c>
      <c r="F170" s="4" t="inlineStr">
        <is>
          <t>1500.00</t>
        </is>
      </c>
    </row>
    <row collapsed="false" customFormat="false" customHeight="false" hidden="false" ht="12.1" outlineLevel="0" r="171">
      <c r="A171" s="5" t="s">
        <f>=HYPERLINK("https://www.leilaoonline.net/index.php/lote/detalhe/265870", "11642")</f>
      </c>
      <c r="B171" s="4" t="s">
        <f>=HYPERLINK("https://www.leilaoonline.net/index.php/lote/detalhe/265870", " REDUTOR FLENDER BAIXA ACION 5° TERNO. - FR312520. - LOC. JUNQUEIRA 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6.500,00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=HYPERLINK("https://www.leilaoonline.net/index.php/lote/detalhe/267514", "11645")</f>
      </c>
      <c r="B172" s="4" t="s">
        <f>=HYPERLINK("https://www.leilaoonline.net/index.php/lote/detalhe/267514", " TORRE DE RESFRIAMENTO - DESMONTADA FALTANDO PEÇAS. - S/FR. - LOC. JUNQUEIRA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=HYPERLINK("https://www.leilaoonline.net/index.php/lote/detalhe/266944", "11663")</f>
      </c>
      <c r="B173" s="4" t="s">
        <f>=HYPERLINK("https://www.leilaoonline.net/index.php/lote/detalhe/266944", "CAMINHÃO VOLKSWAGEN 26.220 EURO3 WORKER; ANO 2010/2010; BRANCA . - FR72511. - LOC. UNIVALEM 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118.000,00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=HYPERLINK("https://www.leilaoonline.net/index.php/lote/detalhe/266939", "11667")</f>
      </c>
      <c r="B174" s="4" t="s">
        <f>=HYPERLINK("https://www.leilaoonline.net/index.php/lote/detalhe/266939", "COLHEDORA JOHN DEERE 3522 2L; ANO 2014. - FR91512. - LOC. GASA")</f>
      </c>
      <c r="C174" s="4" t="inlineStr">
        <is>
          <t>Não vendido</t>
        </is>
      </c>
      <c r="D174" s="4" t="inlineStr">
        <is>
          <t>14</t>
        </is>
      </c>
      <c r="E174" s="5" t="inlineStr">
        <is>
          <t>27.000,00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=HYPERLINK("https://www.leilaoonline.net/index.php/lote/detalhe/266943", "11669")</f>
      </c>
      <c r="B175" s="4" t="s">
        <f>=HYPERLINK("https://www.leilaoonline.net/index.php/lote/detalhe/266943", "SUCATA CAMINHÃO TRANSBORDO GRUNER ATR 220X; ANO 2022; (SINISTRADO - VENDA SEM DIREITO A DOCUMENTAÇÃO). - FR98205. - LOC. DESTIVALE")</f>
      </c>
      <c r="C175" s="4" t="inlineStr">
        <is>
          <t>Vendido</t>
        </is>
      </c>
      <c r="D175" s="4" t="inlineStr">
        <is>
          <t>27</t>
        </is>
      </c>
      <c r="E175" s="5" t="inlineStr">
        <is>
          <t>37.000,00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=HYPERLINK("https://www.leilaoonline.net/index.php/lote/detalhe/266940", "11692")</f>
      </c>
      <c r="B176" s="4" t="s">
        <f>=HYPERLINK("https://www.leilaoonline.net/index.php/lote/detalhe/266940", "COLHEDORA JOHN DEERE 3522 L; ANO 2015. - FRFR188014. - LOC. GASA")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17.000,00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=HYPERLINK("https://www.leilaoonline.net/index.php/lote/detalhe/266917", "11695")</f>
      </c>
      <c r="B177" s="4" t="s">
        <f>=HYPERLINK("https://www.leilaoonline.net/index.php/lote/detalhe/266917", "CAMINHÃO CARROCERIA COMBATE INCÊNDIO; (SINISTRADO - VENDA SEM DIREITO A DOCUMENTAÇÃO). - FR82938. -  LOC. UNIVALEM (PÁTIO DESINVESTIMENTO) ")</f>
      </c>
      <c r="C177" s="4" t="inlineStr">
        <is>
          <t>Vendido</t>
        </is>
      </c>
      <c r="D177" s="4" t="inlineStr">
        <is>
          <t>9</t>
        </is>
      </c>
      <c r="E177" s="5" t="inlineStr">
        <is>
          <t>25.000,00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=HYPERLINK("https://www.leilaoonline.net/index.php/lote/detalhe/265872", "11698")</f>
      </c>
      <c r="B178" s="4" t="s">
        <f>=HYPERLINK("https://www.leilaoonline.net/index.php/lote/detalhe/265872", "TRATOR CASE MX 260 MAGNUM 4x4; ANO 2017. - FR23243. - LOC. GASA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=HYPERLINK("https://www.leilaoonline.net/index.php/lote/detalhe/265866", "11704")</f>
      </c>
      <c r="B179" s="4" t="s">
        <f>=HYPERLINK("https://www.leilaoonline.net/index.php/lote/detalhe/265866", " CULTIVADOR; ANO 2017. - FR4445302. - LOC. CAARAPÓ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=HYPERLINK("https://www.leilaoonline.net/index.php/lote/detalhe/269310", "11714")</f>
      </c>
      <c r="B180" s="4" t="s">
        <f>=HYPERLINK("https://www.leilaoonline.net/index.php/lote/detalhe/269310", "LOTE COM APROX. 7 VALVULAS MEDIDAS DIVERAS; 02 ROLOS E 20 PEÇAS DIVERSAS. - S/FR. - LOC. CAARAPÓ")</f>
      </c>
      <c r="C180" s="4" t="inlineStr">
        <is>
          <t>Vendido</t>
        </is>
      </c>
      <c r="D180" s="4" t="inlineStr">
        <is>
          <t>51</t>
        </is>
      </c>
      <c r="E180" s="5" t="inlineStr">
        <is>
          <t>14.150,00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=HYPERLINK("https://www.leilaoonline.net/index.php/lote/detalhe/268950", "11719")</f>
      </c>
      <c r="B181" s="4" t="s">
        <f>=HYPERLINK("https://www.leilaoonline.net/index.php/lote/detalhe/268950", " MOTO BOMBA MWM 6.12 TCA; ANO 2007. - FR9005013. - LOC. RIO BRILHANTE 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20.500,00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=HYPERLINK("https://www.leilaoonline.net/index.php/lote/detalhe/267964", "11722")</f>
      </c>
      <c r="B182" s="4" t="s">
        <f>=HYPERLINK("https://www.leilaoonline.net/index.php/lote/detalhe/267964", "CAMINHÃO MERCEDES BENZ AXOR 3344S 6X4; ANO 2014/2014; BRANCA. - FR119957. - LOC. JATAI")</f>
      </c>
      <c r="C182" s="4" t="inlineStr">
        <is>
          <t>Não vendido</t>
        </is>
      </c>
      <c r="D182" s="4" t="inlineStr">
        <is>
          <t>77</t>
        </is>
      </c>
      <c r="E182" s="5" t="inlineStr">
        <is>
          <t>108.000,00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=HYPERLINK("https://www.leilaoonline.net/index.php/lote/detalhe/269091", "11724")</f>
      </c>
      <c r="B183" s="4" t="s">
        <f>=HYPERLINK("https://www.leilaoonline.net/index.php/lote/detalhe/269091", "ROÇADEIRA CIVEMASA RTCOAC; ANO 2019. - FR165357. - LOC. JATAI/GO")</f>
      </c>
      <c r="C183" s="4" t="inlineStr">
        <is>
          <t>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=HYPERLINK("https://www.leilaoonline.net/index.php/lote/detalhe/266916", "11738")</f>
      </c>
      <c r="B184" s="4" t="s">
        <f>=HYPERLINK("https://www.leilaoonline.net/index.php/lote/detalhe/266916", "SUCATA TRATOR PNEU JOHN DEERE 7230 J 4X4; ANO 2020. - FR163530. - LOC. JATAI/GO  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43.000,00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=HYPERLINK("https://www.leilaoonline.net/index.php/lote/detalhe/265869", "11743")</f>
      </c>
      <c r="B185" s="4" t="s">
        <f>=HYPERLINK("https://www.leilaoonline.net/index.php/lote/detalhe/265869", "MOTO BOMBA MWM 6.12 TCA; ANO 2016. - FR4005663. - LOC. PASSATEMPO")</f>
      </c>
      <c r="C185" s="4" t="inlineStr">
        <is>
          <t>Vendido</t>
        </is>
      </c>
      <c r="D185" s="4" t="inlineStr">
        <is>
          <t>35</t>
        </is>
      </c>
      <c r="E185" s="5" t="inlineStr">
        <is>
          <t>22.000,00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=HYPERLINK("https://www.leilaoonline.net/index.php/lote/detalhe/267522", "11921")</f>
      </c>
      <c r="B186" s="4" t="s">
        <f>=HYPERLINK("https://www.leilaoonline.net/index.php/lote/detalhe/267522", " CAMINHÃO SCANIA/ P124 CB 6X4 NZ 420, ANO 2005/2005 - BRANCO - FR19805 - (VENDA SOMENTE PARA COMPRADORES DO ESTADO DE SÃO PAULO) - LOC.: PARAÍSO")</f>
      </c>
      <c r="C186" s="4" t="inlineStr">
        <is>
          <t>Não vendido</t>
        </is>
      </c>
      <c r="D186" s="4" t="inlineStr">
        <is>
          <t>48</t>
        </is>
      </c>
      <c r="E186" s="5" t="inlineStr">
        <is>
          <t>62.000,00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=HYPERLINK("https://www.leilaoonline.net/index.php/lote/detalhe/266935", "11924")</f>
      </c>
      <c r="B187" s="4" t="s">
        <f>=HYPERLINK("https://www.leilaoonline.net/index.php/lote/detalhe/266935", "TRATOR VALTRA BH 210. - ANO 2014 - FR106667. - LOC. BARRA ")</f>
      </c>
      <c r="C187" s="4" t="inlineStr">
        <is>
          <t>Vendido</t>
        </is>
      </c>
      <c r="D187" s="4" t="inlineStr">
        <is>
          <t>69</t>
        </is>
      </c>
      <c r="E187" s="5" t="inlineStr">
        <is>
          <t>101.000,00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=HYPERLINK("https://www.leilaoonline.net/index.php/lote/detalhe/265881", "11944")</f>
      </c>
      <c r="B188" s="4" t="s">
        <f>=HYPERLINK("https://www.leilaoonline.net/index.php/lote/detalhe/265881", " TRATOR CASE PUMA 200; ANO 2016. - FR512036. - LOC. BARRA")</f>
      </c>
      <c r="C188" s="4" t="inlineStr">
        <is>
          <t>Vendido</t>
        </is>
      </c>
      <c r="D188" s="4" t="inlineStr">
        <is>
          <t>85</t>
        </is>
      </c>
      <c r="E188" s="5" t="inlineStr">
        <is>
          <t>135.000,00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=HYPERLINK("https://www.leilaoonline.net/index.php/lote/detalhe/265882", "11947")</f>
      </c>
      <c r="B189" s="4" t="s">
        <f>=HYPERLINK("https://www.leilaoonline.net/index.php/lote/detalhe/265882", " TRATOR CASE 235; ANO 2014. - FR100013. - LOC. BARRA")</f>
      </c>
      <c r="C189" s="4" t="inlineStr">
        <is>
          <t>Vendido</t>
        </is>
      </c>
      <c r="D189" s="4" t="inlineStr">
        <is>
          <t>12</t>
        </is>
      </c>
      <c r="E189" s="5" t="inlineStr">
        <is>
          <t>36.000,00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=HYPERLINK("https://www.leilaoonline.net/index.php/lote/detalhe/266308", "11961")</f>
      </c>
      <c r="B190" s="4" t="s">
        <f>=HYPERLINK("https://www.leilaoonline.net/index.php/lote/detalhe/266308", " MOTOR SCANIA MARÍTIMO. - S/FR. - LOC. DIAMANTE ")</f>
      </c>
      <c r="C190" s="4" t="inlineStr">
        <is>
          <t>Vendido</t>
        </is>
      </c>
      <c r="D190" s="4" t="inlineStr">
        <is>
          <t>57</t>
        </is>
      </c>
      <c r="E190" s="5" t="inlineStr">
        <is>
          <t>43.500,00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=HYPERLINK("https://www.leilaoonline.net/index.php/lote/detalhe/266334", "11962")</f>
      </c>
      <c r="B191" s="4" t="s">
        <f>=HYPERLINK("https://www.leilaoonline.net/index.php/lote/detalhe/266334", " MOTOR SCANIA MARÍTIMO. - S/FR. - LOC. DIAMANTE ")</f>
      </c>
      <c r="C191" s="4" t="inlineStr">
        <is>
          <t>Vendido</t>
        </is>
      </c>
      <c r="D191" s="4" t="inlineStr">
        <is>
          <t>39</t>
        </is>
      </c>
      <c r="E191" s="5" t="inlineStr">
        <is>
          <t>25.500,00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=HYPERLINK("https://www.leilaoonline.net/index.php/lote/detalhe/266326", "11963")</f>
      </c>
      <c r="B192" s="4" t="s">
        <f>=HYPERLINK("https://www.leilaoonline.net/index.php/lote/detalhe/266326", " MOTOR SCANIA MARÍTIMO. - S/FR. - LOC. DIAMANTE ")</f>
      </c>
      <c r="C192" s="4" t="inlineStr">
        <is>
          <t>Vendido</t>
        </is>
      </c>
      <c r="D192" s="4" t="inlineStr">
        <is>
          <t>36</t>
        </is>
      </c>
      <c r="E192" s="5" t="inlineStr">
        <is>
          <t>24.000,00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=HYPERLINK("https://www.leilaoonline.net/index.php/lote/detalhe/266316", "11964")</f>
      </c>
      <c r="B193" s="4" t="s">
        <f>=HYPERLINK("https://www.leilaoonline.net/index.php/lote/detalhe/266316", " MOTOR SCANIA MARÍTIMO. - S/FR. - LOC. DIAMANTE ")</f>
      </c>
      <c r="C193" s="4" t="inlineStr">
        <is>
          <t>Vendido</t>
        </is>
      </c>
      <c r="D193" s="4" t="inlineStr">
        <is>
          <t>29</t>
        </is>
      </c>
      <c r="E193" s="5" t="inlineStr">
        <is>
          <t>18.000,00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=HYPERLINK("https://www.leilaoonline.net/index.php/lote/detalhe/266333", "11965")</f>
      </c>
      <c r="B194" s="4" t="s">
        <f>=HYPERLINK("https://www.leilaoonline.net/index.php/lote/detalhe/266333", " MOTOR SCANIA MARÍTIMO. - S/FR. - LOC. DIAMANTE ")</f>
      </c>
      <c r="C194" s="4" t="inlineStr">
        <is>
          <t>Vendido</t>
        </is>
      </c>
      <c r="D194" s="4" t="inlineStr">
        <is>
          <t>22</t>
        </is>
      </c>
      <c r="E194" s="5" t="inlineStr">
        <is>
          <t>16.000,00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=HYPERLINK("https://www.leilaoonline.net/index.php/lote/detalhe/266318", "11966")</f>
      </c>
      <c r="B195" s="4" t="s">
        <f>=HYPERLINK("https://www.leilaoonline.net/index.php/lote/detalhe/266318", " MOTOR SCANIA  MARÍTIMO. - S/FR. - LOC. DIAMANTE 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21.500,00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=HYPERLINK("https://www.leilaoonline.net/index.php/lote/detalhe/266321", "11967")</f>
      </c>
      <c r="B196" s="4" t="s">
        <f>=HYPERLINK("https://www.leilaoonline.net/index.php/lote/detalhe/266321", " REVESOR MARÍTIMO. - S/FR. - LOC. DIAMANTE 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11.000,00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=HYPERLINK("https://www.leilaoonline.net/index.php/lote/detalhe/266310", "11968")</f>
      </c>
      <c r="B197" s="4" t="s">
        <f>=HYPERLINK("https://www.leilaoonline.net/index.php/lote/detalhe/266310", " REVESOR MARÍTIMO. - S/FR. - LOC. DIAMANTE ")</f>
      </c>
      <c r="C197" s="4" t="inlineStr">
        <is>
          <t>Vendido</t>
        </is>
      </c>
      <c r="D197" s="4" t="inlineStr">
        <is>
          <t>22</t>
        </is>
      </c>
      <c r="E197" s="5" t="inlineStr">
        <is>
          <t>16.500,00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=HYPERLINK("https://www.leilaoonline.net/index.php/lote/detalhe/266332", "11969")</f>
      </c>
      <c r="B198" s="4" t="s">
        <f>=HYPERLINK("https://www.leilaoonline.net/index.php/lote/detalhe/266332", " REVESOR MARÍTIMO. - S/FR. - LOC. DIAMANTE ")</f>
      </c>
      <c r="C198" s="4" t="inlineStr">
        <is>
          <t>Vendido</t>
        </is>
      </c>
      <c r="D198" s="4" t="inlineStr">
        <is>
          <t>21</t>
        </is>
      </c>
      <c r="E198" s="5" t="inlineStr">
        <is>
          <t>15.000,00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=HYPERLINK("https://www.leilaoonline.net/index.php/lote/detalhe/266331", "11970")</f>
      </c>
      <c r="B199" s="4" t="s">
        <f>=HYPERLINK("https://www.leilaoonline.net/index.php/lote/detalhe/266331", " MOTOR POLPA YAMAHA 15. - PAT;198923. - LOC. DIAMANTE")</f>
      </c>
      <c r="C199" s="4" t="inlineStr">
        <is>
          <t>Vendido</t>
        </is>
      </c>
      <c r="D199" s="4" t="inlineStr">
        <is>
          <t>10</t>
        </is>
      </c>
      <c r="E199" s="5" t="inlineStr">
        <is>
          <t>8.250,00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=HYPERLINK("https://www.leilaoonline.net/index.php/lote/detalhe/266335", "11971")</f>
      </c>
      <c r="B200" s="4" t="s">
        <f>=HYPERLINK("https://www.leilaoonline.net/index.php/lote/detalhe/266335", " MOTOR POLPA YAMAHA 15. - PAT;134607. - LOC. DIAMANTE")</f>
      </c>
      <c r="C200" s="4" t="inlineStr">
        <is>
          <t>Vendido</t>
        </is>
      </c>
      <c r="D200" s="4" t="inlineStr">
        <is>
          <t>8</t>
        </is>
      </c>
      <c r="E200" s="5" t="inlineStr">
        <is>
          <t>8.050,00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=HYPERLINK("https://www.leilaoonline.net/index.php/lote/detalhe/266342", "11972")</f>
      </c>
      <c r="B201" s="4" t="s">
        <f>=HYPERLINK("https://www.leilaoonline.net/index.php/lote/detalhe/266342", " BARCO 6MTS 600 CAST. - S/FR. - LOC. DIAMANTE")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5.300,00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=HYPERLINK("https://www.leilaoonline.net/index.php/lote/detalhe/266299", "11973")</f>
      </c>
      <c r="B202" s="4" t="s">
        <f>=HYPERLINK("https://www.leilaoonline.net/index.php/lote/detalhe/266299", " BARCO 6MTS 600 CAST. - S/FR. - LOC. DIAMANTE")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5.000,00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=HYPERLINK("https://www.leilaoonline.net/index.php/lote/detalhe/266307", "11975")</f>
      </c>
      <c r="B203" s="4" t="s">
        <f>=HYPERLINK("https://www.leilaoonline.net/index.php/lote/detalhe/266307", " TRATOR CASE 260; ANO 2017. - FR20373- LOC. SANTA CANDIDA")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80.000,00</t>
        </is>
      </c>
      <c r="F203" s="4" t="inlineStr">
        <is>
          <t>2500.00</t>
        </is>
      </c>
    </row>
    <row collapsed="false" customFormat="false" customHeight="false" hidden="false" ht="12.1" outlineLevel="0" r="204">
      <c r="A204" s="5" t="s">
        <f>=HYPERLINK("https://www.leilaoonline.net/index.php/lote/detalhe/266311", "11976")</f>
      </c>
      <c r="B204" s="4" t="s">
        <f>=HYPERLINK("https://www.leilaoonline.net/index.php/lote/detalhe/266311", " KOMBI VOLKSWAGEN; ANO 2012/2013; BRANCA; (VENDA APENAS PARA COMPRADORES DO ESTADO DE SÃO PAULO). - FR501385. - LOC. PARAÍSO")</f>
      </c>
      <c r="C204" s="4" t="inlineStr">
        <is>
          <t>Não vendido</t>
        </is>
      </c>
      <c r="D204" s="4" t="inlineStr">
        <is>
          <t>12</t>
        </is>
      </c>
      <c r="E204" s="5" t="inlineStr">
        <is>
          <t>17.500,00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=HYPERLINK("https://www.leilaoonline.net/index.php/lote/detalhe/266320", "11977")</f>
      </c>
      <c r="B205" s="4" t="s">
        <f>=HYPERLINK("https://www.leilaoonline.net/index.php/lote/detalhe/266320", " MOTOR POLPA MARINE. - S/FR. - LOC. DIAMANTE ")</f>
      </c>
      <c r="C205" s="4" t="inlineStr">
        <is>
          <t>Não vendido</t>
        </is>
      </c>
      <c r="D205" s="4" t="inlineStr">
        <is>
          <t>4</t>
        </is>
      </c>
      <c r="E205" s="5" t="inlineStr">
        <is>
          <t>4.250,00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=HYPERLINK("https://www.leilaoonline.net/index.php/lote/detalhe/266304", "11979")</f>
      </c>
      <c r="B206" s="4" t="s">
        <f>=HYPERLINK("https://www.leilaoonline.net/index.php/lote/detalhe/266304", " REBOQUE TRUCK GALEGO GR; ANO 2008/2008; CINZA. - FR19122. - LOC. PARAISO")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28.000,00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=HYPERLINK("https://www.leilaoonline.net/index.php/lote/detalhe/266330", "11980")</f>
      </c>
      <c r="B207" s="4" t="s">
        <f>=HYPERLINK("https://www.leilaoonline.net/index.php/lote/detalhe/266330", " REBOQUE ANTONINI; ANO 1991/1991; CINZA; (VENDA APENAS PARA COMPRADORES DO ESTADO DE SÃO PAULO). - FR19121. - LOC. PARAISO ")</f>
      </c>
      <c r="C207" s="4" t="inlineStr">
        <is>
          <t>Não vendido</t>
        </is>
      </c>
      <c r="D207" s="4" t="inlineStr">
        <is>
          <t>6</t>
        </is>
      </c>
      <c r="E207" s="5" t="inlineStr">
        <is>
          <t>20.000,00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=HYPERLINK("https://www.leilaoonline.net/index.php/lote/detalhe/266303", "11981")</f>
      </c>
      <c r="B208" s="4" t="s">
        <f>=HYPERLINK("https://www.leilaoonline.net/index.php/lote/detalhe/266303", " ESTRUTURA DE AGROMATÃO. - FR103069. - LOC. PARAISO ")</f>
      </c>
      <c r="C208" s="4" t="inlineStr">
        <is>
          <t>Não vendido</t>
        </is>
      </c>
      <c r="D208" s="4" t="inlineStr">
        <is>
          <t>21</t>
        </is>
      </c>
      <c r="E208" s="5" t="inlineStr">
        <is>
          <t>7.750,00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=HYPERLINK("https://www.leilaoonline.net/index.php/lote/detalhe/266300", "11982")</f>
      </c>
      <c r="B209" s="4" t="s">
        <f>=HYPERLINK("https://www.leilaoonline.net/index.php/lote/detalhe/266300", "PEÇAS DIVERSAS - CAPÔ, CAB., OUTROS DE TRATOR, 2 TANQUES AÇO, 2 TANQUES PLASTICO, RADIADORES E OUTROS. - S/FR. - LOC. PARAISO ")</f>
      </c>
      <c r="C209" s="4" t="inlineStr">
        <is>
          <t>Vendido</t>
        </is>
      </c>
      <c r="D209" s="4" t="inlineStr">
        <is>
          <t>29</t>
        </is>
      </c>
      <c r="E209" s="5" t="inlineStr">
        <is>
          <t>10.500,00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=HYPERLINK("https://www.leilaoonline.net/index.php/lote/detalhe/266302", "11983")</f>
      </c>
      <c r="B210" s="4" t="s">
        <f>=HYPERLINK("https://www.leilaoonline.net/index.php/lote/detalhe/266302", " TRATOR CASE MAGNUM - ANO 2014 - FR10760. - LOC. PARAÍSO ")</f>
      </c>
      <c r="C210" s="4" t="inlineStr">
        <is>
          <t>Vendido</t>
        </is>
      </c>
      <c r="D210" s="4" t="inlineStr">
        <is>
          <t>7</t>
        </is>
      </c>
      <c r="E210" s="5" t="inlineStr">
        <is>
          <t>31.000,00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=HYPERLINK("https://www.leilaoonline.net/index.php/lote/detalhe/266305", "11984")</f>
      </c>
      <c r="B211" s="4" t="s">
        <f>=HYPERLINK("https://www.leilaoonline.net/index.php/lote/detalhe/266305", " 11 VÁLVULAS DIVERSOS TAM/MODELOS. - S/FR. - LOC. PARAISO ")</f>
      </c>
      <c r="C211" s="4" t="inlineStr">
        <is>
          <t>Vendido</t>
        </is>
      </c>
      <c r="D211" s="4" t="inlineStr">
        <is>
          <t>46</t>
        </is>
      </c>
      <c r="E211" s="5" t="inlineStr">
        <is>
          <t>33.000,00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=HYPERLINK("https://www.leilaoonline.net/index.php/lote/detalhe/266313", "11986")</f>
      </c>
      <c r="B212" s="4" t="s">
        <f>=HYPERLINK("https://www.leilaoonline.net/index.php/lote/detalhe/266313", " TRATOR VALTRA BH 210. - ANO 2013 - FR106661. - LOC. DIAMANTE")</f>
      </c>
      <c r="C212" s="4" t="inlineStr">
        <is>
          <t>Vendido</t>
        </is>
      </c>
      <c r="D212" s="4" t="inlineStr">
        <is>
          <t>57</t>
        </is>
      </c>
      <c r="E212" s="5" t="inlineStr">
        <is>
          <t>101.000,00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=HYPERLINK("https://www.leilaoonline.net/index.php/lote/detalhe/266329", "11987")</f>
      </c>
      <c r="B213" s="4" t="s">
        <f>=HYPERLINK("https://www.leilaoonline.net/index.php/lote/detalhe/266329", "CARRETA DE TORTA. - FR74444. - LOC. BARRA")</f>
      </c>
      <c r="C213" s="4" t="inlineStr">
        <is>
          <t>Vendido</t>
        </is>
      </c>
      <c r="D213" s="4" t="inlineStr">
        <is>
          <t>4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=HYPERLINK("https://www.leilaoonline.net/index.php/lote/detalhe/266309", "11988")</f>
      </c>
      <c r="B214" s="4" t="s">
        <f>=HYPERLINK("https://www.leilaoonline.net/index.php/lote/detalhe/266309", "CARRETA ESP. CALC. SOLLUS. - FR103651. - NUMERO DE FOGO 25510. - PAT.07697. - LOC. BARRA")</f>
      </c>
      <c r="C214" s="4" t="inlineStr">
        <is>
          <t>Vendido</t>
        </is>
      </c>
      <c r="D214" s="4" t="inlineStr">
        <is>
          <t>28</t>
        </is>
      </c>
      <c r="E214" s="5" t="inlineStr">
        <is>
          <t>17.500,00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=HYPERLINK("https://www.leilaoonline.net/index.php/lote/detalhe/266337", "11989")</f>
      </c>
      <c r="B215" s="4" t="s">
        <f>=HYPERLINK("https://www.leilaoonline.net/index.php/lote/detalhe/266337", " GRADE 48 DISCOS. - FR103168. - LOC. BARRA ")</f>
      </c>
      <c r="C215" s="4" t="inlineStr">
        <is>
          <t>Vendido</t>
        </is>
      </c>
      <c r="D215" s="4" t="inlineStr">
        <is>
          <t>27</t>
        </is>
      </c>
      <c r="E215" s="5" t="inlineStr">
        <is>
          <t>16.500,00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=HYPERLINK("https://www.leilaoonline.net/index.php/lote/detalhe/266324", "11990")</f>
      </c>
      <c r="B216" s="4" t="s">
        <f>=HYPERLINK("https://www.leilaoonline.net/index.php/lote/detalhe/266324", " GRADE 36 DISCOS. - FR103141. - LOC. BARRA ")</f>
      </c>
      <c r="C216" s="4" t="inlineStr">
        <is>
          <t>Vendido</t>
        </is>
      </c>
      <c r="D216" s="4" t="inlineStr">
        <is>
          <t>30</t>
        </is>
      </c>
      <c r="E216" s="5" t="inlineStr">
        <is>
          <t>22.500,00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=HYPERLINK("https://www.leilaoonline.net/index.php/lote/detalhe/266323", "11991")</f>
      </c>
      <c r="B217" s="4" t="s">
        <f>=HYPERLINK("https://www.leilaoonline.net/index.php/lote/detalhe/266323", " CAMINHÃO VOLKSWAGEN 31.330 CRC 6X4; ANO 2014/2015; BRANCA; (CARROC. TRANSBORDO.). - FR96693/FR98713. - LOC. BARRA ")</f>
      </c>
      <c r="C217" s="4" t="inlineStr">
        <is>
          <t>Não vendido</t>
        </is>
      </c>
      <c r="D217" s="4" t="inlineStr">
        <is>
          <t>117</t>
        </is>
      </c>
      <c r="E217" s="5" t="inlineStr">
        <is>
          <t>223.556,00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=HYPERLINK("https://www.leilaoonline.net/index.php/lote/detalhe/266339", "11992")</f>
      </c>
      <c r="B218" s="4" t="s">
        <f>=HYPERLINK("https://www.leilaoonline.net/index.php/lote/detalhe/266339", " ÔNIBUS MERCEDES BENZ OF 1620; ANO 1994/1995; BRANCA. - FR97481. - LOC. BARRA ")</f>
      </c>
      <c r="C218" s="4" t="inlineStr">
        <is>
          <t>Vendido</t>
        </is>
      </c>
      <c r="D218" s="4" t="inlineStr">
        <is>
          <t>24</t>
        </is>
      </c>
      <c r="E218" s="5" t="inlineStr">
        <is>
          <t>24.000,00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=HYPERLINK("https://www.leilaoonline.net/index.php/lote/detalhe/266312", "11993")</f>
      </c>
      <c r="B219" s="4" t="s">
        <f>=HYPERLINK("https://www.leilaoonline.net/index.php/lote/detalhe/266312", " ÔNIBUS MERCEDES BENZ OF 1318; ANO 1991/1991; AZUL. - FR139297. - LOC. BARRA ")</f>
      </c>
      <c r="C219" s="4" t="inlineStr">
        <is>
          <t>Vendido</t>
        </is>
      </c>
      <c r="D219" s="4" t="inlineStr">
        <is>
          <t>22</t>
        </is>
      </c>
      <c r="E219" s="5" t="inlineStr">
        <is>
          <t>26.000,00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=HYPERLINK("https://www.leilaoonline.net/index.php/lote/detalhe/266338", "11995")</f>
      </c>
      <c r="B220" s="4" t="s">
        <f>=HYPERLINK("https://www.leilaoonline.net/index.php/lote/detalhe/266338", " TRANSBORDO ATA 12000 - ANO 2012 - FR70640. - LOC. BARRA ")</f>
      </c>
      <c r="C220" s="4" t="inlineStr">
        <is>
          <t>Não vendido</t>
        </is>
      </c>
      <c r="D220" s="4" t="inlineStr">
        <is>
          <t>3</t>
        </is>
      </c>
      <c r="E220" s="5" t="inlineStr">
        <is>
          <t>12.000,00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=HYPERLINK("https://www.leilaoonline.net/index.php/lote/detalhe/266341", "11997")</f>
      </c>
      <c r="B221" s="4" t="s">
        <f>=HYPERLINK("https://www.leilaoonline.net/index.php/lote/detalhe/266341", "CARRETA DE TORTA E ESTRUTURA IMPLEMENTO C/ TANQUE BRANCO ACLOPADO. - FR103054. - LOC. BARRA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=HYPERLINK("https://www.leilaoonline.net/index.php/lote/detalhe/266340", "11999")</f>
      </c>
      <c r="B222" s="4" t="s">
        <f>=HYPERLINK("https://www.leilaoonline.net/index.php/lote/detalhe/266340", " REBOQUE MANZOLI ICM 6; ANO 1998/1998; AZUL. - FR70190. - LOC. DIAMANTE")</f>
      </c>
      <c r="C222" s="4" t="inlineStr">
        <is>
          <t>Vendido</t>
        </is>
      </c>
      <c r="D222" s="4" t="inlineStr">
        <is>
          <t>6</t>
        </is>
      </c>
      <c r="E222" s="5" t="inlineStr">
        <is>
          <t>3.250,00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=HYPERLINK("https://www.leilaoonline.net/index.php/lote/detalhe/268366", "12018")</f>
      </c>
      <c r="B223" s="4" t="s">
        <f>=HYPERLINK("https://www.leilaoonline.net/index.php/lote/detalhe/268366", "TRANSBORDO MEGATEC 10.500T, ANO 2013 - FR4445205 - LOC. CAARAPÓ")</f>
      </c>
      <c r="C223" s="4" t="inlineStr">
        <is>
          <t>Não vendido</t>
        </is>
      </c>
      <c r="D223" s="4" t="inlineStr">
        <is>
          <t>25</t>
        </is>
      </c>
      <c r="E223" s="5" t="inlineStr">
        <is>
          <t>36.000,00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=HYPERLINK("https://www.leilaoonline.net/index.php/lote/detalhe/268385", "12019")</f>
      </c>
      <c r="B224" s="4" t="s">
        <f>=HYPERLINK("https://www.leilaoonline.net/index.php/lote/detalhe/268385", "TRANSBORDO MEGATEC 10.500T, ANO 2013 - FR4445176 - LOC. CAARAPÓ")</f>
      </c>
      <c r="C224" s="4" t="inlineStr">
        <is>
          <t>Não vendido</t>
        </is>
      </c>
      <c r="D224" s="4" t="inlineStr">
        <is>
          <t>25</t>
        </is>
      </c>
      <c r="E224" s="5" t="inlineStr">
        <is>
          <t>36.000,00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=HYPERLINK("https://www.leilaoonline.net/index.php/lote/detalhe/268368", "12020")</f>
      </c>
      <c r="B225" s="4" t="s">
        <f>=HYPERLINK("https://www.leilaoonline.net/index.php/lote/detalhe/268368", "TRANSBORDO MEGATEC 10.500T, ANO 2013 - FR4445187 - LOC. CAARAPÓ")</f>
      </c>
      <c r="C225" s="4" t="inlineStr">
        <is>
          <t>Não vendido</t>
        </is>
      </c>
      <c r="D225" s="4" t="inlineStr">
        <is>
          <t>25</t>
        </is>
      </c>
      <c r="E225" s="5" t="inlineStr">
        <is>
          <t>36.000,00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=HYPERLINK("https://www.leilaoonline.net/index.php/lote/detalhe/268394", "12021")</f>
      </c>
      <c r="B226" s="4" t="s">
        <f>=HYPERLINK("https://www.leilaoonline.net/index.php/lote/detalhe/268394", "VEJA VÍDEO!!! CAMINHÃO MERCEDES BENZ AXOR 3344S 6X4 - ANO 2017/2017 - BRANCA - FR4415068 - LOC. CAARAPÓ")</f>
      </c>
      <c r="C226" s="4" t="inlineStr">
        <is>
          <t>Vendido</t>
        </is>
      </c>
      <c r="D226" s="4" t="inlineStr">
        <is>
          <t>94</t>
        </is>
      </c>
      <c r="E226" s="5" t="inlineStr">
        <is>
          <t>190.000,00</t>
        </is>
      </c>
      <c r="F226" s="4" t="inlineStr">
        <is>
          <t>2000.00</t>
        </is>
      </c>
    </row>
    <row collapsed="false" customFormat="false" customHeight="false" hidden="false" ht="12.1" outlineLevel="0" r="227">
      <c r="A227" s="5" t="s">
        <f>=HYPERLINK("https://www.leilaoonline.net/index.php/lote/detalhe/268369", "12022")</f>
      </c>
      <c r="B227" s="4" t="s">
        <f>=HYPERLINK("https://www.leilaoonline.net/index.php/lote/detalhe/268369", "VEJA VÍDEO!!! CAMINHÃO MERCEDES BENZ AXOR 3344S 6X4 - ANO 2017/2017 - BRANCA - FR4415069 - LOC. CAARAPÓ")</f>
      </c>
      <c r="C227" s="4" t="inlineStr">
        <is>
          <t>Vendido</t>
        </is>
      </c>
      <c r="D227" s="4" t="inlineStr">
        <is>
          <t>86</t>
        </is>
      </c>
      <c r="E227" s="5" t="inlineStr">
        <is>
          <t>181.000,00</t>
        </is>
      </c>
      <c r="F227" s="4" t="inlineStr">
        <is>
          <t>2000.00</t>
        </is>
      </c>
    </row>
    <row collapsed="false" customFormat="false" customHeight="false" hidden="false" ht="12.1" outlineLevel="0" r="228">
      <c r="A228" s="5" t="s">
        <f>=HYPERLINK("https://www.leilaoonline.net/index.php/lote/detalhe/268407", "12023")</f>
      </c>
      <c r="B228" s="4" t="s">
        <f>=HYPERLINK("https://www.leilaoonline.net/index.php/lote/detalhe/268407", "VEJA VÍDEO!!! CAMINHÃO MERCEDES BENZ AXOR 3344S 6X4 - ANO 2017/2017 - BRANCA - FR4415070 - LOC. CAARAPÓ")</f>
      </c>
      <c r="C228" s="4" t="inlineStr">
        <is>
          <t>Vendido</t>
        </is>
      </c>
      <c r="D228" s="4" t="inlineStr">
        <is>
          <t>99</t>
        </is>
      </c>
      <c r="E228" s="5" t="inlineStr">
        <is>
          <t>190.000,00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=HYPERLINK("https://www.leilaoonline.net/index.php/lote/detalhe/268371", "12024")</f>
      </c>
      <c r="B229" s="4" t="s">
        <f>=HYPERLINK("https://www.leilaoonline.net/index.php/lote/detalhe/268371", "TRANSBORDO CIVEMASA TAC 13000, ANO 2008 - FR9004093 - LOC. PASSATEMPO")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13.000,00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=HYPERLINK("https://www.leilaoonline.net/index.php/lote/detalhe/268409", "12025")</f>
      </c>
      <c r="B230" s="4" t="s">
        <f>=HYPERLINK("https://www.leilaoonline.net/index.php/lote/detalhe/268409", "TRANSBORDO CIVEMASA TAC 13000, ANO 2006 - FR5004733 - LOC. PASSATEMPO")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12.000,00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=HYPERLINK("https://www.leilaoonline.net/index.php/lote/detalhe/268411", "12026")</f>
      </c>
      <c r="B231" s="4" t="s">
        <f>=HYPERLINK("https://www.leilaoonline.net/index.php/lote/detalhe/268411", "TRANSBORDO CIVEMASA TAC 13000, ANO 2008 - FR9004122 - LOC. PASSATEMPO")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=HYPERLINK("https://www.leilaoonline.net/index.php/lote/detalhe/268421", "12027")</f>
      </c>
      <c r="B232" s="4" t="s">
        <f>=HYPERLINK("https://www.leilaoonline.net/index.php/lote/detalhe/268421", "TRANSBORDO CIVEMASA TAC 13000, ANO 2007 - FR5004752 - LOC. PASSATEMPO")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=HYPERLINK("https://www.leilaoonline.net/index.php/lote/detalhe/268420", "12028")</f>
      </c>
      <c r="B233" s="4" t="s">
        <f>=HYPERLINK("https://www.leilaoonline.net/index.php/lote/detalhe/268420", "TRANSBORDO CIVEMASA TAC 13000, ANO 2008 - FR9004041 - LOC. PASSATEMPO")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=HYPERLINK("https://www.leilaoonline.net/index.php/lote/detalhe/268372", "12029")</f>
      </c>
      <c r="B234" s="4" t="s">
        <f>=HYPERLINK("https://www.leilaoonline.net/index.php/lote/detalhe/268372", "TRANSBORDO MEGATEC 10.500T, ANO 2013 - FR4445204 - LOC. CAARAPÓ")</f>
      </c>
      <c r="C234" s="4" t="inlineStr">
        <is>
          <t>Não vendido</t>
        </is>
      </c>
      <c r="D234" s="4" t="inlineStr">
        <is>
          <t>12</t>
        </is>
      </c>
      <c r="E234" s="5" t="inlineStr">
        <is>
          <t>30.000,00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=HYPERLINK("https://www.leilaoonline.net/index.php/lote/detalhe/268390", "12030")</f>
      </c>
      <c r="B235" s="4" t="s">
        <f>=HYPERLINK("https://www.leilaoonline.net/index.php/lote/detalhe/268390", "TRATOR JOHN DEERE 6190 J, ANO 2017 - FR4435185 - LOC. CAARAPÓ")</f>
      </c>
      <c r="C235" s="4" t="inlineStr">
        <is>
          <t>Não vendido</t>
        </is>
      </c>
      <c r="D235" s="4" t="inlineStr">
        <is>
          <t>48</t>
        </is>
      </c>
      <c r="E235" s="5" t="inlineStr">
        <is>
          <t>139.000,00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=HYPERLINK("https://www.leilaoonline.net/index.php/lote/detalhe/268388", "12031")</f>
      </c>
      <c r="B236" s="4" t="s">
        <f>=HYPERLINK("https://www.leilaoonline.net/index.php/lote/detalhe/268388", "TRATOR JOHN DEERE 6190 J, ANO 2017 - FR4435175 - LOC. CAARAPÓ")</f>
      </c>
      <c r="C236" s="4" t="inlineStr">
        <is>
          <t>Não vendido</t>
        </is>
      </c>
      <c r="D236" s="4" t="inlineStr">
        <is>
          <t>103</t>
        </is>
      </c>
      <c r="E236" s="5" t="inlineStr">
        <is>
          <t>140.000,00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=HYPERLINK("https://www.leilaoonline.net/index.php/lote/detalhe/265877", "12033")</f>
      </c>
      <c r="B237" s="4" t="s">
        <f>=HYPERLINK("https://www.leilaoonline.net/index.php/lote/detalhe/265877", " PLANTADORA DE CANA TMA 2 LINHAS; ANO 2014. - FR140033. - LOC. CAARAPÓ ")</f>
      </c>
      <c r="C237" s="4" t="inlineStr">
        <is>
          <t>Não vendido</t>
        </is>
      </c>
      <c r="D237" s="4" t="inlineStr">
        <is>
          <t>72</t>
        </is>
      </c>
      <c r="E237" s="5" t="inlineStr">
        <is>
          <t>81.000,00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=HYPERLINK("https://www.leilaoonline.net/index.php/lote/detalhe/265876", "12036")</f>
      </c>
      <c r="B238" s="4" t="s">
        <f>=HYPERLINK("https://www.leilaoonline.net/index.php/lote/detalhe/265876", " ROÇADEIRA RAC-1700 BALDAN; ANO 2021. - FR4445007. - LOC. CAARAPÓ")</f>
      </c>
      <c r="C238" s="4" t="inlineStr">
        <is>
          <t>Vendido</t>
        </is>
      </c>
      <c r="D238" s="4" t="inlineStr">
        <is>
          <t>32</t>
        </is>
      </c>
      <c r="E238" s="5" t="inlineStr">
        <is>
          <t>12.500,00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=HYPERLINK("https://www.leilaoonline.net/index.php/lote/detalhe/265878", "12038")</f>
      </c>
      <c r="B239" s="4" t="s">
        <f>=HYPERLINK("https://www.leilaoonline.net/index.php/lote/detalhe/265878", "CARROCERIA TANQUE; FAB. PRÓPRIA. - ANO 2018 - FR4455200. - LOC. CAARAPÓ")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7.000,00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=HYPERLINK("https://www.leilaoonline.net/index.php/lote/detalhe/269322", "12040")</f>
      </c>
      <c r="B240" s="4" t="s">
        <f>=HYPERLINK("https://www.leilaoonline.net/index.php/lote/detalhe/269322", " CARROCERIA CANA INTEIRA; ANO 2003. - FR4450992. - LOC. CAARAPÓ")</f>
      </c>
      <c r="C240" s="4" t="inlineStr">
        <is>
          <t>Vendido</t>
        </is>
      </c>
      <c r="D240" s="4" t="inlineStr">
        <is>
          <t>2</t>
        </is>
      </c>
      <c r="E240" s="5" t="inlineStr">
        <is>
          <t>3.000,00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=HYPERLINK("https://www.leilaoonline.net/index.php/lote/detalhe/269321", "12042")</f>
      </c>
      <c r="B241" s="4" t="s">
        <f>=HYPERLINK("https://www.leilaoonline.net/index.php/lote/detalhe/269321", " CARROCERIA CANA INTEIRA; ANO 2010. - FR4455032. - LOC. CAARAPÓ")</f>
      </c>
      <c r="C241" s="4" t="inlineStr">
        <is>
          <t>Não vendido</t>
        </is>
      </c>
      <c r="D241" s="4" t="inlineStr">
        <is>
          <t>7</t>
        </is>
      </c>
      <c r="E241" s="5" t="inlineStr">
        <is>
          <t>6.000,00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=HYPERLINK("https://www.leilaoonline.net/index.php/lote/detalhe/268373", "12050")</f>
      </c>
      <c r="B242" s="4" t="s">
        <f>=HYPERLINK("https://www.leilaoonline.net/index.php/lote/detalhe/268373", "TRANSBORDO CIVEMASA TAC 13000, ANO 2008 - FR9004061 - LOC. PASSATEMPO")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12.000,00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=HYPERLINK("https://www.leilaoonline.net/index.php/lote/detalhe/268423", "12051")</f>
      </c>
      <c r="B243" s="4" t="s">
        <f>=HYPERLINK("https://www.leilaoonline.net/index.php/lote/detalhe/268423", "TRANSBORDO CIVEMASA TAC 13000, ANO 2006 - FR5004735 - LOC. PASSATEMPO")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10.000,00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=HYPERLINK("https://www.leilaoonline.net/index.php/lote/detalhe/268375", "12052")</f>
      </c>
      <c r="B244" s="4" t="s">
        <f>=HYPERLINK("https://www.leilaoonline.net/index.php/lote/detalhe/268375", "TRANSBORDO CIVEMASA TAC 13000, ANO 2008 - FR9004106 - LOC. PASSATEMPO")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=HYPERLINK("https://www.leilaoonline.net/index.php/lote/detalhe/268424", "12054")</f>
      </c>
      <c r="B245" s="4" t="s">
        <f>=HYPERLINK("https://www.leilaoonline.net/index.php/lote/detalhe/268424", "TRANSBORDO CIVEMASA TAC 13000, ANO 2008 - FR9004020 - LOC. PASSATEMPO")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10.000,00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=HYPERLINK("https://www.leilaoonline.net/index.php/lote/detalhe/268439", "12055")</f>
      </c>
      <c r="B246" s="4" t="s">
        <f>=HYPERLINK("https://www.leilaoonline.net/index.php/lote/detalhe/268439", "APROXIMADAMENTE 221 PNEUS - MEDIDAS DIVERSAS - VEJA DESCRITIVO DE ITENS - LOC. RIO BRILHANTE")</f>
      </c>
      <c r="C246" s="4" t="inlineStr">
        <is>
          <t>Vendido</t>
        </is>
      </c>
      <c r="D246" s="4" t="inlineStr">
        <is>
          <t>125</t>
        </is>
      </c>
      <c r="E246" s="5" t="inlineStr">
        <is>
          <t>150.000,00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=HYPERLINK("https://www.leilaoonline.net/index.php/lote/detalhe/268377", "12056")</f>
      </c>
      <c r="B247" s="4" t="s">
        <f>=HYPERLINK("https://www.leilaoonline.net/index.php/lote/detalhe/268377", "DOLLY,  ANO 2006 - FR51555 - (VENDA SEM DOCUMENTO); (QUINTA RODA NÃO FAZ PARTE DO LOTE) - LOC. RIO BRILHANTE")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=HYPERLINK("https://www.leilaoonline.net/index.php/lote/detalhe/268432", "12064")</f>
      </c>
      <c r="B248" s="4" t="s">
        <f>=HYPERLINK("https://www.leilaoonline.net/index.php/lote/detalhe/268432", "TRANSBORDO CIVEMASA TAC 13000, ANO 2006 - FR4004123 - LOC. RIO BRILHANTE")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=HYPERLINK("https://www.leilaoonline.net/index.php/lote/detalhe/268429", "12068")</f>
      </c>
      <c r="B249" s="4" t="s">
        <f>=HYPERLINK("https://www.leilaoonline.net/index.php/lote/detalhe/268429", "TRANSBORDO CIVEMASA TAC 13000, ANO 2007 - FR5004744 - LOC. RIO BRILHANTE")</f>
      </c>
      <c r="C249" s="4" t="inlineStr">
        <is>
          <t>Não vendido</t>
        </is>
      </c>
      <c r="D249" s="4" t="inlineStr">
        <is>
          <t>5</t>
        </is>
      </c>
      <c r="E249" s="5" t="inlineStr">
        <is>
          <t>14.000,00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=HYPERLINK("https://www.leilaoonline.net/index.php/lote/detalhe/268435", "12070")</f>
      </c>
      <c r="B250" s="4" t="s">
        <f>=HYPERLINK("https://www.leilaoonline.net/index.php/lote/detalhe/268435", "DOLLY,  ANO 2007 - FR5004678 - (VENDA SEM DOCUMENTO) - LOC. RIO BRILHANTE")</f>
      </c>
      <c r="C250" s="4" t="inlineStr">
        <is>
          <t>Vendido</t>
        </is>
      </c>
      <c r="D250" s="4" t="inlineStr">
        <is>
          <t>2</t>
        </is>
      </c>
      <c r="E250" s="5" t="inlineStr">
        <is>
          <t>5.200,00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=HYPERLINK("https://www.leilaoonline.net/index.php/lote/detalhe/268378", "12072")</f>
      </c>
      <c r="B251" s="4" t="s">
        <f>=HYPERLINK("https://www.leilaoonline.net/index.php/lote/detalhe/268378", "TRANSBORDO CIVEMASA TAC 13000, ANO 2007 - FR5004753 - LOC. RIO BRILHANTE")</f>
      </c>
      <c r="C251" s="4" t="inlineStr">
        <is>
          <t>Não vendido</t>
        </is>
      </c>
      <c r="D251" s="4" t="inlineStr">
        <is>
          <t>7</t>
        </is>
      </c>
      <c r="E251" s="5" t="inlineStr">
        <is>
          <t>16.000,00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=HYPERLINK("https://www.leilaoonline.net/index.php/lote/detalhe/268437", "12076")</f>
      </c>
      <c r="B252" s="4" t="s">
        <f>=HYPERLINK("https://www.leilaoonline.net/index.php/lote/detalhe/268437", "DOLLY, ANO 2003. - FR11004135. - (VENDA SEM DOCUMENTO) - LOC. RIO BRILHANTE")</f>
      </c>
      <c r="C252" s="4" t="inlineStr">
        <is>
          <t>Não vendido</t>
        </is>
      </c>
      <c r="D252" s="4" t="inlineStr">
        <is>
          <t>2</t>
        </is>
      </c>
      <c r="E252" s="5" t="inlineStr">
        <is>
          <t>5.200,00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=HYPERLINK("https://www.leilaoonline.net/index.php/lote/detalhe/268380", "12078")</f>
      </c>
      <c r="B253" s="4" t="s">
        <f>=HYPERLINK("https://www.leilaoonline.net/index.php/lote/detalhe/268380", "TRANSBORDO CIVEMASA TAC 13000, ANO 2008 - FR9004008 - LOC. RIO BRILHANTE")</f>
      </c>
      <c r="C253" s="4" t="inlineStr">
        <is>
          <t>Vendido</t>
        </is>
      </c>
      <c r="D253" s="4" t="inlineStr">
        <is>
          <t>18</t>
        </is>
      </c>
      <c r="E253" s="5" t="inlineStr">
        <is>
          <t>27.000,00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=HYPERLINK("https://www.leilaoonline.net/index.php/lote/detalhe/268955", "31320")</f>
      </c>
      <c r="B254" s="4" t="s">
        <f>=HYPERLINK("https://www.leilaoonline.net/index.php/lote/detalhe/268955", "PLANTADORA DE CANA AUTOMÁTICA DMB; ANO 2013 - FR9003135 - LOC. RIO BRILHANTE")</f>
      </c>
      <c r="C254" s="4" t="inlineStr">
        <is>
          <t>Não vendido</t>
        </is>
      </c>
      <c r="D254" s="4" t="inlineStr">
        <is>
          <t>2</t>
        </is>
      </c>
      <c r="E254" s="5" t="inlineStr">
        <is>
          <t>10.500,00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=HYPERLINK("https://www.leilaoonline.net/index.php/lote/detalhe/266914", "31391")</f>
      </c>
      <c r="B255" s="4" t="s">
        <f>=HYPERLINK("https://www.leilaoonline.net/index.php/lote/detalhe/266914", "TRANSBORDO SANTA IZABEL TCS 12T; ANO 2010. - FR68027. - LOC. JATAÍ")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=HYPERLINK("https://www.leilaoonline.net/index.php/lote/detalhe/268162", "31755")</f>
      </c>
      <c r="B256" s="4" t="s">
        <f>=HYPERLINK("https://www.leilaoonline.net/index.php/lote/detalhe/268162", "ÁREA DE VIVÊNCIA. - FR13004206. - LOC.MB")</f>
      </c>
      <c r="C256" s="4" t="inlineStr">
        <is>
          <t>Vendido</t>
        </is>
      </c>
      <c r="D256" s="4" t="inlineStr">
        <is>
          <t>3</t>
        </is>
      </c>
      <c r="E256" s="5" t="inlineStr">
        <is>
          <t>4.000,00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=HYPERLINK("https://www.leilaoonline.net/index.php/lote/detalhe/268942", "32201")</f>
      </c>
      <c r="B257" s="4" t="s">
        <f>=HYPERLINK("https://www.leilaoonline.net/index.php/lote/detalhe/268942", "CULTIVADOR DIST. ADUBO DMB 2L; ANO 2018. - FR4445329. - LOC. CAARAPÓ")</f>
      </c>
      <c r="C257" s="4" t="inlineStr">
        <is>
          <t>Não vendido</t>
        </is>
      </c>
      <c r="D257" s="4" t="inlineStr">
        <is>
          <t>3</t>
        </is>
      </c>
      <c r="E257" s="5" t="inlineStr">
        <is>
          <t>1.400,00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=HYPERLINK("https://www.leilaoonline.net/index.php/lote/detalhe/268943", "32202")</f>
      </c>
      <c r="B258" s="4" t="s">
        <f>=HYPERLINK("https://www.leilaoonline.net/index.php/lote/detalhe/268943", "CULTIVADOR DIST. ADUBO DMB 2L; ANO 2018. - FR4445331. - LOC. CAARAPÓ")</f>
      </c>
      <c r="C258" s="4" t="inlineStr">
        <is>
          <t>Não vendido</t>
        </is>
      </c>
      <c r="D258" s="4" t="inlineStr">
        <is>
          <t>3</t>
        </is>
      </c>
      <c r="E258" s="5" t="inlineStr">
        <is>
          <t>1.400,00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=HYPERLINK("https://www.leilaoonline.net/index.php/lote/detalhe/268940", "32203")</f>
      </c>
      <c r="B259" s="4" t="s">
        <f>=HYPERLINK("https://www.leilaoonline.net/index.php/lote/detalhe/268940", "CULTIVADOR DIST. ADUBO DMB 2L; ANO 2018. - FR4445330. - LOC. CAARAPÓ")</f>
      </c>
      <c r="C259" s="4" t="inlineStr">
        <is>
          <t>Não vendido</t>
        </is>
      </c>
      <c r="D259" s="4" t="inlineStr">
        <is>
          <t>3</t>
        </is>
      </c>
      <c r="E259" s="5" t="inlineStr">
        <is>
          <t>1.400,00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=HYPERLINK("https://www.leilaoonline.net/index.php/lote/detalhe/268941", "32205")</f>
      </c>
      <c r="B260" s="4" t="s">
        <f>=HYPERLINK("https://www.leilaoonline.net/index.php/lote/detalhe/268941", "CULTIVADOR DMB 2L; ANO 2018. - FR4445332. - LOC. CAARAPÓ")</f>
      </c>
      <c r="C260" s="4" t="inlineStr">
        <is>
          <t>Não vendido</t>
        </is>
      </c>
      <c r="D260" s="4" t="inlineStr">
        <is>
          <t>3</t>
        </is>
      </c>
      <c r="E260" s="5" t="inlineStr">
        <is>
          <t>1.400,00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=HYPERLINK("https://www.leilaoonline.net/index.php/lote/detalhe/268956", "32208")</f>
      </c>
      <c r="B261" s="4" t="s">
        <f>=HYPERLINK("https://www.leilaoonline.net/index.php/lote/detalhe/268956", "VEJA VÍDEO!!! TRATOR CASE MX 260 MAGNUM 4X4; ANO 2017. - FR4450962. - LOC.CAARAPÓ")</f>
      </c>
      <c r="C261" s="4" t="inlineStr">
        <is>
          <t>Vendido</t>
        </is>
      </c>
      <c r="D261" s="4" t="inlineStr">
        <is>
          <t>24</t>
        </is>
      </c>
      <c r="E261" s="5" t="inlineStr">
        <is>
          <t>137.500,00</t>
        </is>
      </c>
      <c r="F261" s="4" t="inlineStr">
        <is>
          <t>2500.00</t>
        </is>
      </c>
    </row>
    <row collapsed="false" customFormat="false" customHeight="false" hidden="false" ht="12.1" outlineLevel="0" r="262">
      <c r="A262" s="5" t="s">
        <f>=HYPERLINK("https://www.leilaoonline.net/index.php/lote/detalhe/269487", "32229")</f>
      </c>
      <c r="B262" s="4" t="s">
        <f>=HYPERLINK("https://www.leilaoonline.net/index.php/lote/detalhe/269487", "2 BOMBAS DE VACOU; 2 BANHO MARIA; 1 MONITOR DELL 17"; 2 ODMOSES; 1 MICROONDAS; 1 IMPRESSORA HP; 1 PLASTIFICADORA GAZELA; 2 ESTUFAS SPENCER; 1 CENTRÍFUGA BABY. 1 MICRODESTILADOR; 1MILLIQ. - S/FR. - LOC. CAARAPÓ")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1.000,00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=HYPERLINK("https://www.leilaoonline.net/index.php/lote/detalhe/266915", "32263")</f>
      </c>
      <c r="B263" s="4" t="s">
        <f>=HYPERLINK("https://www.leilaoonline.net/index.php/lote/detalhe/266915", "REBOQUE A.T.BOTUCATU DANUSA; ANO 2016/2016; PRETA. - FR165392. - LOC. JATAÍ")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4.000,00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=HYPERLINK("https://www.leilaoonline.net/index.php/lote/detalhe/269092", "32266")</f>
      </c>
      <c r="B264" s="4" t="s">
        <f>=HYPERLINK("https://www.leilaoonline.net/index.php/lote/detalhe/269092", "TRANSBORDO SANTA IZABEL TCS 12T; ANO 2010. - FR68029. - LOC. JATAÍ")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=HYPERLINK("https://www.leilaoonline.net/index.php/lote/detalhe/267524", "32267")</f>
      </c>
      <c r="B265" s="4" t="s">
        <f>=HYPERLINK("https://www.leilaoonline.net/index.php/lote/detalhe/267524", "TRANSBORDO SMR 10500 10T; ANO 2008. - FR164206. - LOC. JATAÍ")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=HYPERLINK("https://www.leilaoonline.net/index.php/lote/detalhe/269090", "32955")</f>
      </c>
      <c r="B266" s="4" t="s">
        <f>=HYPERLINK("https://www.leilaoonline.net/index.php/lote/detalhe/269090", "ENXADA ROTATIVA HOWARD ENGUNERING LIMITED; ANO 2014. - FR84719. - LOC. JATAÍ")</f>
      </c>
      <c r="C266" s="4" t="inlineStr">
        <is>
          <t>Vendido</t>
        </is>
      </c>
      <c r="D266" s="4" t="inlineStr">
        <is>
          <t>15</t>
        </is>
      </c>
      <c r="E266" s="5" t="inlineStr">
        <is>
          <t>5.500,00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=HYPERLINK("https://www.leilaoonline.net/index.php/lote/detalhe/268167", "33055")</f>
      </c>
      <c r="B267" s="4" t="s">
        <f>=HYPERLINK("https://www.leilaoonline.net/index.php/lote/detalhe/268167", "TRANSBORDO CIVEMASA TRIDEM 13T; ANO 2008. - FR5004821. - LOC.LEME")</f>
      </c>
      <c r="C267" s="4" t="inlineStr">
        <is>
          <t>Não vendido</t>
        </is>
      </c>
      <c r="D267" s="4" t="inlineStr">
        <is>
          <t>6</t>
        </is>
      </c>
      <c r="E267" s="5" t="inlineStr">
        <is>
          <t>18.500,00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=HYPERLINK("https://www.leilaoonline.net/index.php/lote/detalhe/268168", "33058")</f>
      </c>
      <c r="B268" s="4" t="s">
        <f>=HYPERLINK("https://www.leilaoonline.net/index.php/lote/detalhe/268168", "TRANSBORDO CIVEMASA 10 T;  ANO 2008. - FR7003011. - LOC. LEME")</f>
      </c>
      <c r="C268" s="4" t="inlineStr">
        <is>
          <t>Não 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=HYPERLINK("https://www.leilaoonline.net/index.php/lote/detalhe/268173", "33059")</f>
      </c>
      <c r="B269" s="4" t="s">
        <f>=HYPERLINK("https://www.leilaoonline.net/index.php/lote/detalhe/268173", "REBOQUE RODOVIÁRIA; ANO 1987/1987; AZUL. - FR7004009. - LOC. LEME")</f>
      </c>
      <c r="C269" s="4" t="inlineStr">
        <is>
          <t>Não vendido</t>
        </is>
      </c>
      <c r="D269" s="4" t="inlineStr">
        <is>
          <t>9</t>
        </is>
      </c>
      <c r="E269" s="5" t="inlineStr">
        <is>
          <t>21.000,00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=HYPERLINK("https://www.leilaoonline.net/index.php/lote/detalhe/268175", "33087")</f>
      </c>
      <c r="B270" s="4" t="s">
        <f>=HYPERLINK("https://www.leilaoonline.net/index.php/lote/detalhe/268175", "REBOQUE SERNAUTO 001; ANO 2011/2011; AZUL. FR20044 - LOC. LEME ")</f>
      </c>
      <c r="C270" s="4" t="inlineStr">
        <is>
          <t>Não vendido</t>
        </is>
      </c>
      <c r="D270" s="4" t="inlineStr">
        <is>
          <t>45</t>
        </is>
      </c>
      <c r="E270" s="5" t="inlineStr">
        <is>
          <t>21.750,00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=HYPERLINK("https://www.leilaoonline.net/index.php/lote/detalhe/268172", "33094")</f>
      </c>
      <c r="B271" s="4" t="s">
        <f>=HYPERLINK("https://www.leilaoonline.net/index.php/lote/detalhe/268172", "PLANTADORA DE CANA AUTOMÁTICA DMB; ANO 2015. - FR4003405. - LOC. LEME ")</f>
      </c>
      <c r="C271" s="4" t="inlineStr">
        <is>
          <t>Não vendido</t>
        </is>
      </c>
      <c r="D271" s="4" t="inlineStr">
        <is>
          <t>31</t>
        </is>
      </c>
      <c r="E271" s="5" t="inlineStr">
        <is>
          <t>20.000,00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=HYPERLINK("https://www.leilaoonline.net/index.php/lote/detalhe/268171", "33095")</f>
      </c>
      <c r="B272" s="4" t="s">
        <f>=HYPERLINK("https://www.leilaoonline.net/index.php/lote/detalhe/268171", "CARRETA DIS. TORTA SPANDER; ANO 2012. - FR7003099. - LOC. LEME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3.500,00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=HYPERLINK("https://www.leilaoonline.net/index.php/lote/detalhe/268170", "33096")</f>
      </c>
      <c r="B273" s="4" t="s">
        <f>=HYPERLINK("https://www.leilaoonline.net/index.php/lote/detalhe/268170", "GRADE DESTORROADORA TATU; ANO 2010. - FR7003081. - LOC. LEME ")</f>
      </c>
      <c r="C273" s="4" t="inlineStr">
        <is>
          <t>Vendido</t>
        </is>
      </c>
      <c r="D273" s="4" t="inlineStr">
        <is>
          <t>3</t>
        </is>
      </c>
      <c r="E273" s="5" t="inlineStr">
        <is>
          <t>6.000,00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=HYPERLINK("https://www.leilaoonline.net/index.php/lote/detalhe/268169", "33097")</f>
      </c>
      <c r="B274" s="4" t="s">
        <f>=HYPERLINK("https://www.leilaoonline.net/index.php/lote/detalhe/268169", "GRADE DESTORROADORA TATU; ANO 2010. - FR7003080. - LOC. LEME ")</f>
      </c>
      <c r="C274" s="4" t="inlineStr">
        <is>
          <t>Vendido</t>
        </is>
      </c>
      <c r="D274" s="4" t="inlineStr">
        <is>
          <t>24</t>
        </is>
      </c>
      <c r="E274" s="5" t="inlineStr">
        <is>
          <t>19.000,00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=HYPERLINK("https://www.leilaoonline.net/index.php/lote/detalhe/268166", "33098")</f>
      </c>
      <c r="B275" s="4" t="s">
        <f>=HYPERLINK("https://www.leilaoonline.net/index.php/lote/detalhe/268166", "CARRETA TANQUE GASCON; ANO 2012; (VENDA SEM DOCUMENTAÇÃO). - FR7804062. - LOC. LEME")</f>
      </c>
      <c r="C275" s="4" t="inlineStr">
        <is>
          <t>Vendido</t>
        </is>
      </c>
      <c r="D275" s="4" t="inlineStr">
        <is>
          <t>9</t>
        </is>
      </c>
      <c r="E275" s="5" t="inlineStr">
        <is>
          <t>26.000,00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=HYPERLINK("https://www.leilaoonline.net/index.php/lote/detalhe/265867", "33202")</f>
      </c>
      <c r="B276" s="4" t="s">
        <f>=HYPERLINK("https://www.leilaoonline.net/index.php/lote/detalhe/265867", " REBOQUE FNC FRUEHAUF; ANO 1986/1986; AZUL; COM CARRETEL HIDRO ROLL. - FR81931/FR88924. - LOC. GASA (MODAL) ")</f>
      </c>
      <c r="C276" s="4" t="inlineStr">
        <is>
          <t>Não vendido</t>
        </is>
      </c>
      <c r="D276" s="4" t="inlineStr">
        <is>
          <t>5</t>
        </is>
      </c>
      <c r="E276" s="5" t="inlineStr">
        <is>
          <t>9.000,00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=HYPERLINK("https://www.leilaoonline.net/index.php/lote/detalhe/266938", "33413")</f>
      </c>
      <c r="B277" s="4" t="s">
        <f>=HYPERLINK("https://www.leilaoonline.net/index.php/lote/detalhe/266938", "COLHEDORA JOHN DEERE 3522. - ANO 2013 - FR9002021. - LOC. RIO BRILHANTE")</f>
      </c>
      <c r="C277" s="4" t="inlineStr">
        <is>
          <t>Não vendido</t>
        </is>
      </c>
      <c r="D277" s="4" t="inlineStr">
        <is>
          <t>9</t>
        </is>
      </c>
      <c r="E277" s="5" t="inlineStr">
        <is>
          <t>18.000,00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=HYPERLINK("https://www.leilaoonline.net/index.php/lote/detalhe/268163", "33515")</f>
      </c>
      <c r="B278" s="4" t="s">
        <f>=HYPERLINK("https://www.leilaoonline.net/index.php/lote/detalhe/268163", "CAMINHÃO GM 6000 CUSTOM; ANO 1993/1994; BRANCA. - FR13001001. - LOC. MB")</f>
      </c>
      <c r="C278" s="4" t="inlineStr">
        <is>
          <t>Vendido</t>
        </is>
      </c>
      <c r="D278" s="4" t="inlineStr">
        <is>
          <t>51</t>
        </is>
      </c>
      <c r="E278" s="5" t="inlineStr">
        <is>
          <t>34.500,00</t>
        </is>
      </c>
      <c r="F278" s="4" t="inlineStr">
        <is>
          <t>500.00</t>
        </is>
      </c>
    </row>
    <row collapsed="false" customFormat="false" customHeight="false" hidden="false" ht="12.1" outlineLevel="0" r="279">
      <c r="A279" s="5" t="s">
        <f>=HYPERLINK("https://www.leilaoonline.net/index.php/lote/detalhe/269120", "33544")</f>
      </c>
      <c r="B279" s="4" t="s">
        <f>=HYPERLINK("https://www.leilaoonline.net/index.php/lote/detalhe/269120", "TRATOR CASE 235 MX MAGNUM 4X4; ANO 2014. - FR93345. - LOC. JUNQUEIRA")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21.000,00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=HYPERLINK("https://www.leilaoonline.net/index.php/lote/detalhe/267852", "33575")</f>
      </c>
      <c r="B280" s="4" t="s">
        <f>=HYPERLINK("https://www.leilaoonline.net/index.php/lote/detalhe/267852", "SEMI REBOQUE RANDON SP SRCA CA, ANO 2012/2013, CINZA - FR66218 - LOC. COSTA PINTO")</f>
      </c>
      <c r="C280" s="4" t="inlineStr">
        <is>
          <t>Vendido</t>
        </is>
      </c>
      <c r="D280" s="4" t="inlineStr">
        <is>
          <t>24</t>
        </is>
      </c>
      <c r="E280" s="5" t="inlineStr">
        <is>
          <t>65.000,00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=HYPERLINK("https://www.leilaoonline.net/index.php/lote/detalhe/267837", "33587")</f>
      </c>
      <c r="B281" s="4" t="s">
        <f>=HYPERLINK("https://www.leilaoonline.net/index.php/lote/detalhe/267837", "CARRETA TRANSP. TUBOS VIN. ANO 2007. - FR25431. - LOC. SANTA HELENA")</f>
      </c>
      <c r="C281" s="4" t="inlineStr">
        <is>
          <t>Não vendido</t>
        </is>
      </c>
      <c r="D281" s="4" t="inlineStr">
        <is>
          <t>4</t>
        </is>
      </c>
      <c r="E281" s="5" t="inlineStr">
        <is>
          <t>1.750,00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=HYPERLINK("https://www.leilaoonline.net/index.php/lote/detalhe/269121", "33833")</f>
      </c>
      <c r="B282" s="4" t="s">
        <f>=HYPERLINK("https://www.leilaoonline.net/index.php/lote/detalhe/269121", " DISTRIBUIDOR TORTA FILTRO E ADUBO DMB; ANO 2016. - FR11003810. - LOC. VALE DO ROSÁRIO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3.500,00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=HYPERLINK("https://www.leilaoonline.net/index.php/lote/detalhe/269117", "34033")</f>
      </c>
      <c r="B283" s="4" t="s">
        <f>=HYPERLINK("https://www.leilaoonline.net/index.php/lote/detalhe/269117", "APROX. 95.000 FRASCOS 500ML 68MM 2,4CM; COM TAMP BOC ROSC / TAMPAS P FR PP NAT CIRC S LOG. - S/FR. - LOC. BOM RETIRO")</f>
      </c>
      <c r="C283" s="4" t="inlineStr">
        <is>
          <t>Não vendido</t>
        </is>
      </c>
      <c r="D283" s="4" t="inlineStr">
        <is>
          <t>13</t>
        </is>
      </c>
      <c r="E283" s="5" t="inlineStr">
        <is>
          <t>6.500,00</t>
        </is>
      </c>
      <c r="F2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2026-04-04T12:40:03.00Z</dcterms:created>
  <dc:creator>Tellks Tecnologia</dc:creator>
  <cp:revision>0</cp:revision>
</cp:coreProperties>
</file>