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27 TRATORES, 7 CAMINHÕES, REBOQUES, CARROS, MOTOS, IMPLEMENTOS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26/11/2021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=HYPERLINK("https://www.leilaoonline.net/lote/detalhe/107063", "3042")</f>
      </c>
      <c r="B11" s="4" t="s">
        <f>=HYPERLINK("https://www.leilaoonline.net/lote/detalhe/107063", " R/RANDONSP RQ CA, ANO 2010/2010, FR96718, LOC. BARRA ")</f>
      </c>
      <c r="C11" s="4" t="inlineStr">
        <is>
          <t>Vendido</t>
        </is>
      </c>
      <c r="D11" s="4" t="inlineStr">
        <is>
          <t>4</t>
        </is>
      </c>
      <c r="E11" s="5" t="inlineStr">
        <is>
          <t>28.000,00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=HYPERLINK("https://www.leilaoonline.net/lote/detalhe/107056", "3085")</f>
      </c>
      <c r="B12" s="4" t="s">
        <f>=HYPERLINK("https://www.leilaoonline.net/lote/detalhe/107056", " ADUBADEIRA JM3520SH JUMIL - UNIDADE BARRA")</f>
      </c>
      <c r="C12" s="4" t="inlineStr">
        <is>
          <t>Não vendido</t>
        </is>
      </c>
      <c r="D12" s="4" t="inlineStr">
        <is>
          <t>8</t>
        </is>
      </c>
      <c r="E12" s="5" t="inlineStr">
        <is>
          <t>2.750,00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=HYPERLINK("https://www.leilaoonline.net/lote/detalhe/107519", "3086")</f>
      </c>
      <c r="B13" s="4" t="s">
        <f>=HYPERLINK("https://www.leilaoonline.net/lote/detalhe/107519", " ADUBADEIRA JM3520SH JUMIL, ANO 2011, FR103955,  LOC. BARRA")</f>
      </c>
      <c r="C13" s="4" t="inlineStr">
        <is>
          <t>Não vendido</t>
        </is>
      </c>
      <c r="D13" s="4" t="inlineStr">
        <is>
          <t>16</t>
        </is>
      </c>
      <c r="E13" s="5" t="inlineStr">
        <is>
          <t>3.250,00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=HYPERLINK("https://www.leilaoonline.net/lote/detalhe/107499", "3105")</f>
      </c>
      <c r="B14" s="4" t="s">
        <f>=HYPERLINK("https://www.leilaoonline.net/lote/detalhe/107499", " CARRETA ESPARRAMADORA DE TORTA SOLLUS, ANO 2006, FR103648,  LOC. BARRA ")</f>
      </c>
      <c r="C14" s="4" t="inlineStr">
        <is>
          <t>Vendido</t>
        </is>
      </c>
      <c r="D14" s="4" t="inlineStr">
        <is>
          <t>7</t>
        </is>
      </c>
      <c r="E14" s="5" t="inlineStr">
        <is>
          <t>3.500,00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=HYPERLINK("https://www.leilaoonline.net/lote/detalhe/107065", "3108")</f>
      </c>
      <c r="B15" s="4" t="s">
        <f>=HYPERLINK("https://www.leilaoonline.net/lote/detalhe/107065", " CARRETA DISTRIBUIDORA DE TORTA FROTA 103662 ANO 2008 - UNIDADE BARRA")</f>
      </c>
      <c r="C15" s="4" t="inlineStr">
        <is>
          <t>Vendido</t>
        </is>
      </c>
      <c r="D15" s="4" t="inlineStr">
        <is>
          <t>5</t>
        </is>
      </c>
      <c r="E15" s="5" t="inlineStr">
        <is>
          <t>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=HYPERLINK("https://www.leilaoonline.net/lote/detalhe/107046", "3111")</f>
      </c>
      <c r="B16" s="4" t="s">
        <f>=HYPERLINK("https://www.leilaoonline.net/lote/detalhe/107046", " CARRETA AGRICOLA FROTA 103624 ANO 2001 - UNIDADE BARRA")</f>
      </c>
      <c r="C16" s="4" t="inlineStr">
        <is>
          <t>Vendido</t>
        </is>
      </c>
      <c r="D16" s="4" t="inlineStr">
        <is>
          <t>6</t>
        </is>
      </c>
      <c r="E16" s="5" t="inlineStr">
        <is>
          <t>3.250,00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=HYPERLINK("https://www.leilaoonline.net/lote/detalhe/107059", "3190")</f>
      </c>
      <c r="B17" s="4" t="s">
        <f>=HYPERLINK("https://www.leilaoonline.net/lote/detalhe/107059", " R/RANDONSP RQ CA, ANO 2010/2010, FR96778, LOC. BARRA ")</f>
      </c>
      <c r="C17" s="4" t="inlineStr">
        <is>
          <t>Vendido</t>
        </is>
      </c>
      <c r="D17" s="4" t="inlineStr">
        <is>
          <t>2</t>
        </is>
      </c>
      <c r="E17" s="5" t="inlineStr">
        <is>
          <t>25.500,00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=HYPERLINK("https://www.leilaoonline.net/lote/detalhe/107044", "3211")</f>
      </c>
      <c r="B18" s="4" t="s">
        <f>=HYPERLINK("https://www.leilaoonline.net/lote/detalhe/107044", " CARRETA ABRIGO OPERADORES IRRIGABRASIL, FR106716,   LOC. DIAMANTE ")</f>
      </c>
      <c r="C18" s="4" t="inlineStr">
        <is>
          <t>Não vendido</t>
        </is>
      </c>
      <c r="D18" s="4" t="inlineStr">
        <is>
          <t>29</t>
        </is>
      </c>
      <c r="E18" s="5" t="inlineStr">
        <is>
          <t>7.500,00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=HYPERLINK("https://www.leilaoonline.net/lote/detalhe/105730", "3217")</f>
      </c>
      <c r="B19" s="4" t="s">
        <f>=HYPERLINK("https://www.leilaoonline.net/lote/detalhe/105730", " TORRE DE RESFRIAMENTO C/ MOTOR E REDUTOR ( OBS. BASE AO LADO NÃO FAZ PARTE DO LOTE ) LOC. DIAMANTE 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4.000,00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=HYPERLINK("https://www.leilaoonline.net/lote/detalhe/105731", "3218")</f>
      </c>
      <c r="B20" s="4" t="s">
        <f>=HYPERLINK("https://www.leilaoonline.net/lote/detalhe/105731", " TANQUE , SF , ( OBS. DESMONTAGEM POR CONTA DO COMPRADOR) LOC. DIAMANTE 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3.500,00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=HYPERLINK("https://www.leilaoonline.net/lote/detalhe/107084", "3284")</f>
      </c>
      <c r="B21" s="4" t="s">
        <f>=HYPERLINK("https://www.leilaoonline.net/lote/detalhe/107084", " 3 GARRAS HIDRAULICAS , PATR. 267731/074330/267733, LOC. BARRA ")</f>
      </c>
      <c r="C21" s="4" t="inlineStr">
        <is>
          <t>Não vendido</t>
        </is>
      </c>
      <c r="D21" s="4" t="inlineStr">
        <is>
          <t>42</t>
        </is>
      </c>
      <c r="E21" s="5" t="inlineStr">
        <is>
          <t>14.250,00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=HYPERLINK("https://www.leilaoonline.net/lote/detalhe/107061", "3291")</f>
      </c>
      <c r="B22" s="4" t="s">
        <f>=HYPERLINK("https://www.leilaoonline.net/lote/detalhe/107061", " TRANSBORDO  ATA 10500 10 T , FR19878, LOC. BARRA ")</f>
      </c>
      <c r="C22" s="4" t="inlineStr">
        <is>
          <t>Vendido</t>
        </is>
      </c>
      <c r="D22" s="4" t="inlineStr">
        <is>
          <t>11</t>
        </is>
      </c>
      <c r="E22" s="5" t="inlineStr">
        <is>
          <t>10.000,00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=HYPERLINK("https://www.leilaoonline.net/lote/detalhe/107070", "3297")</f>
      </c>
      <c r="B23" s="4" t="s">
        <f>=HYPERLINK("https://www.leilaoonline.net/lote/detalhe/107070", " 2 ROSCA DE INOX C/ APROX. 5M COMPRIMENTO C/ MOTORES ELETRICOS, SF, LOC. BARRA ")</f>
      </c>
      <c r="C23" s="4" t="inlineStr">
        <is>
          <t>Vendido</t>
        </is>
      </c>
      <c r="D23" s="4" t="inlineStr">
        <is>
          <t>35</t>
        </is>
      </c>
      <c r="E23" s="5" t="inlineStr">
        <is>
          <t>10.250,00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=HYPERLINK("https://www.leilaoonline.net/lote/detalhe/107045", "3377")</f>
      </c>
      <c r="B24" s="4" t="s">
        <f>=HYPERLINK("https://www.leilaoonline.net/lote/detalhe/107045", " S.REBOQUE RANDON SR CA, ANO 2007/2007, FR121392, LOC. BARRA ")</f>
      </c>
      <c r="C24" s="4" t="inlineStr">
        <is>
          <t>Vendido</t>
        </is>
      </c>
      <c r="D24" s="4" t="inlineStr">
        <is>
          <t>3</t>
        </is>
      </c>
      <c r="E24" s="5" t="inlineStr">
        <is>
          <t>28.000,00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=HYPERLINK("https://www.leilaoonline.net/lote/detalhe/107050", "3378")</f>
      </c>
      <c r="B25" s="4" t="s">
        <f>=HYPERLINK("https://www.leilaoonline.net/lote/detalhe/107050", " S.REBOQUE RANDON 11,80 M 2 EIXOS CP FROTA 121399 ANO 2007 - UNIDADE BARRA")</f>
      </c>
      <c r="C25" s="4" t="inlineStr">
        <is>
          <t>Vendido</t>
        </is>
      </c>
      <c r="D25" s="4" t="inlineStr">
        <is>
          <t>3</t>
        </is>
      </c>
      <c r="E25" s="5" t="inlineStr">
        <is>
          <t>26.500,00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=HYPERLINK("https://www.leilaoonline.net/lote/detalhe/107053", "3379")</f>
      </c>
      <c r="B26" s="4" t="s">
        <f>=HYPERLINK("https://www.leilaoonline.net/lote/detalhe/107053", " S. REBOQUE RANDON SR CA , ANO 2007/2007, FR121404, LOC. BARRA ")</f>
      </c>
      <c r="C26" s="4" t="inlineStr">
        <is>
          <t>Vendido</t>
        </is>
      </c>
      <c r="D26" s="4" t="inlineStr">
        <is>
          <t>1</t>
        </is>
      </c>
      <c r="E26" s="5" t="inlineStr">
        <is>
          <t>25.000,00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=HYPERLINK("https://www.leilaoonline.net/lote/detalhe/107064", "3380")</f>
      </c>
      <c r="B27" s="4" t="s">
        <f>=HYPERLINK("https://www.leilaoonline.net/lote/detalhe/107064", " REBOQUE RANDONSP RQ CA, ANO 2010/2010, FR96749, LOC. BARRA ")</f>
      </c>
      <c r="C27" s="4" t="inlineStr">
        <is>
          <t>Vendido</t>
        </is>
      </c>
      <c r="D27" s="4" t="inlineStr">
        <is>
          <t>2</t>
        </is>
      </c>
      <c r="E27" s="5" t="inlineStr">
        <is>
          <t>35.000,00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=HYPERLINK("https://www.leilaoonline.net/lote/detalhe/107506", "3381")</f>
      </c>
      <c r="B28" s="4" t="s">
        <f>=HYPERLINK("https://www.leilaoonline.net/lote/detalhe/107506", " R/RANDON SR CA, ANO 2007, FR121415, LOC. BARRA ")</f>
      </c>
      <c r="C28" s="4" t="inlineStr">
        <is>
          <t>Vendido</t>
        </is>
      </c>
      <c r="D28" s="4" t="inlineStr">
        <is>
          <t>1</t>
        </is>
      </c>
      <c r="E28" s="5" t="inlineStr">
        <is>
          <t>27.000,00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=HYPERLINK("https://www.leilaoonline.net/lote/detalhe/107078", "3382")</f>
      </c>
      <c r="B29" s="4" t="s">
        <f>=HYPERLINK("https://www.leilaoonline.net/lote/detalhe/107078", " REBOQUE 4E RANDON 12,5M, ANO 2010/2010, FR96750, LOC. BARRA")</f>
      </c>
      <c r="C29" s="4" t="inlineStr">
        <is>
          <t>Vendido</t>
        </is>
      </c>
      <c r="D29" s="4" t="inlineStr">
        <is>
          <t>7</t>
        </is>
      </c>
      <c r="E29" s="5" t="inlineStr">
        <is>
          <t>36.000,00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=HYPERLINK("https://www.leilaoonline.net/lote/detalhe/107516", "3383")</f>
      </c>
      <c r="B30" s="4" t="s">
        <f>=HYPERLINK("https://www.leilaoonline.net/lote/detalhe/107516", " R/RANDONSP RQ CA, ANO 2010, FR46879, LOC. BARRA ")</f>
      </c>
      <c r="C30" s="4" t="inlineStr">
        <is>
          <t>Vendido</t>
        </is>
      </c>
      <c r="D30" s="4" t="inlineStr">
        <is>
          <t>3</t>
        </is>
      </c>
      <c r="E30" s="5" t="inlineStr">
        <is>
          <t>26.500,00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=HYPERLINK("https://www.leilaoonline.net/lote/detalhe/107076", "3385")</f>
      </c>
      <c r="B31" s="4" t="s">
        <f>=HYPERLINK("https://www.leilaoonline.net/lote/detalhe/107076", " S.REBOQUE RANDON 12,50 M, ANO 2008/2008, FR96226, LOC. BARRA ")</f>
      </c>
      <c r="C31" s="4" t="inlineStr">
        <is>
          <t>Vendido</t>
        </is>
      </c>
      <c r="D31" s="4" t="inlineStr">
        <is>
          <t>15</t>
        </is>
      </c>
      <c r="E31" s="5" t="inlineStr">
        <is>
          <t>39.000,00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=HYPERLINK("https://www.leilaoonline.net/lote/detalhe/107060", "3386")</f>
      </c>
      <c r="B32" s="4" t="s">
        <f>=HYPERLINK("https://www.leilaoonline.net/lote/detalhe/107060", " S.REBOQUE RANDON SR CA, ANO 2007/2007,FR121406 , LOC. BARRA ")</f>
      </c>
      <c r="C32" s="4" t="inlineStr">
        <is>
          <t>Vendido</t>
        </is>
      </c>
      <c r="D32" s="4" t="inlineStr">
        <is>
          <t>1</t>
        </is>
      </c>
      <c r="E32" s="5" t="inlineStr">
        <is>
          <t>25.000,00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=HYPERLINK("https://www.leilaoonline.net/lote/detalhe/107077", "3387")</f>
      </c>
      <c r="B33" s="4" t="s">
        <f>=HYPERLINK("https://www.leilaoonline.net/lote/detalhe/107077", " REBOQUE 4E RANDON 12,5M, ANO 2012/2012, FR70381, LOC. BARRA ")</f>
      </c>
      <c r="C33" s="4" t="inlineStr">
        <is>
          <t>Vendido</t>
        </is>
      </c>
      <c r="D33" s="4" t="inlineStr">
        <is>
          <t>2</t>
        </is>
      </c>
      <c r="E33" s="5" t="inlineStr">
        <is>
          <t>31.000,00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=HYPERLINK("https://www.leilaoonline.net/lote/detalhe/107074", "3388")</f>
      </c>
      <c r="B34" s="4" t="s">
        <f>=HYPERLINK("https://www.leilaoonline.net/lote/detalhe/107074", " S.REBOQUE RANDON 12,50 M, ANO 2013/2014, FR96875, LOC. BARRA ")</f>
      </c>
      <c r="C34" s="4" t="inlineStr">
        <is>
          <t>Não vendido</t>
        </is>
      </c>
      <c r="D34" s="4" t="inlineStr">
        <is>
          <t>12</t>
        </is>
      </c>
      <c r="E34" s="5" t="inlineStr">
        <is>
          <t>46.000,00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=HYPERLINK("https://www.leilaoonline.net/lote/detalhe/107072", "3389")</f>
      </c>
      <c r="B35" s="4" t="s">
        <f>=HYPERLINK("https://www.leilaoonline.net/lote/detalhe/107072", " S.REBOQUE RANDON CA 12,50 M, ANO 2008/2008, FR112501, LOC. BARRA ")</f>
      </c>
      <c r="C35" s="4" t="inlineStr">
        <is>
          <t>Vendido</t>
        </is>
      </c>
      <c r="D35" s="4" t="inlineStr">
        <is>
          <t>2</t>
        </is>
      </c>
      <c r="E35" s="5" t="inlineStr">
        <is>
          <t>26.000,00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=HYPERLINK("https://www.leilaoonline.net/lote/detalhe/107073", "3390")</f>
      </c>
      <c r="B36" s="4" t="s">
        <f>=HYPERLINK("https://www.leilaoonline.net/lote/detalhe/107073", "REBOQUE 4E RANDON12,5M, ANO 2013/2014, FR96880, LOC. BARRA ")</f>
      </c>
      <c r="C36" s="4" t="inlineStr">
        <is>
          <t>Não vendido</t>
        </is>
      </c>
      <c r="D36" s="4" t="inlineStr">
        <is>
          <t>4</t>
        </is>
      </c>
      <c r="E36" s="5" t="inlineStr">
        <is>
          <t>38.000,00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=HYPERLINK("https://www.leilaoonline.net/lote/detalhe/107075", "3391")</f>
      </c>
      <c r="B37" s="4" t="s">
        <f>=HYPERLINK("https://www.leilaoonline.net/lote/detalhe/107075", " REBOQUE  4E Randon 12,5M, ANO 2012/2013, FR82699, LOC. BARRA ")</f>
      </c>
      <c r="C37" s="4" t="inlineStr">
        <is>
          <t>Vendido</t>
        </is>
      </c>
      <c r="D37" s="4" t="inlineStr">
        <is>
          <t>2</t>
        </is>
      </c>
      <c r="E37" s="5" t="inlineStr">
        <is>
          <t>31.000,00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=HYPERLINK("https://www.leilaoonline.net/lote/detalhe/107068", "3392")</f>
      </c>
      <c r="B38" s="4" t="s">
        <f>=HYPERLINK("https://www.leilaoonline.net/lote/detalhe/107068", " REBOQUE RANDONSP RQ CA, ANO 2010/2010, FR96730, LOC. BARRA ")</f>
      </c>
      <c r="C38" s="4" t="inlineStr">
        <is>
          <t>Vendido</t>
        </is>
      </c>
      <c r="D38" s="4" t="inlineStr">
        <is>
          <t>3</t>
        </is>
      </c>
      <c r="E38" s="5" t="inlineStr">
        <is>
          <t>37.000,00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=HYPERLINK("https://www.leilaoonline.net/lote/detalhe/107085", "3393")</f>
      </c>
      <c r="B39" s="4" t="s">
        <f>=HYPERLINK("https://www.leilaoonline.net/lote/detalhe/107085", " TRATOR CASE MX 235 MAGNUM 4X4, ANO 2014, FR100056, LOC. BARRA ")</f>
      </c>
      <c r="C39" s="4" t="inlineStr">
        <is>
          <t>Vendido</t>
        </is>
      </c>
      <c r="D39" s="4" t="inlineStr">
        <is>
          <t>151</t>
        </is>
      </c>
      <c r="E39" s="5" t="inlineStr">
        <is>
          <t>192.000,00</t>
        </is>
      </c>
      <c r="F39" s="4" t="inlineStr">
        <is>
          <t>2000.00</t>
        </is>
      </c>
    </row>
    <row collapsed="false" customFormat="false" customHeight="false" hidden="false" ht="12.1" outlineLevel="0" r="40">
      <c r="A40" s="5" t="s">
        <f>=HYPERLINK("https://www.leilaoonline.net/lote/detalhe/107080", "3394")</f>
      </c>
      <c r="B40" s="4" t="s">
        <f>=HYPERLINK("https://www.leilaoonline.net/lote/detalhe/107080", " TRATOR CASE MX 235 MAGNUM 4X4, ANO 2014, FR100055, LOC. BARRA ")</f>
      </c>
      <c r="C40" s="4" t="inlineStr">
        <is>
          <t>Vendido</t>
        </is>
      </c>
      <c r="D40" s="4" t="inlineStr">
        <is>
          <t>101</t>
        </is>
      </c>
      <c r="E40" s="5" t="inlineStr">
        <is>
          <t>139.000,00</t>
        </is>
      </c>
      <c r="F40" s="4" t="inlineStr">
        <is>
          <t>2000.00</t>
        </is>
      </c>
    </row>
    <row collapsed="false" customFormat="false" customHeight="false" hidden="false" ht="12.1" outlineLevel="0" r="41">
      <c r="A41" s="5" t="s">
        <f>=HYPERLINK("https://www.leilaoonline.net/lote/detalhe/107083", "3395")</f>
      </c>
      <c r="B41" s="4" t="s">
        <f>=HYPERLINK("https://www.leilaoonline.net/lote/detalhe/107083", " TRATOR JOHN DEERE 8260, ANO 2012, FR102788, LOC. BARRA ")</f>
      </c>
      <c r="C41" s="4" t="inlineStr">
        <is>
          <t>Não vendido</t>
        </is>
      </c>
      <c r="D41" s="4" t="inlineStr">
        <is>
          <t>166</t>
        </is>
      </c>
      <c r="E41" s="5" t="inlineStr">
        <is>
          <t>266.000,00</t>
        </is>
      </c>
      <c r="F41" s="4" t="inlineStr">
        <is>
          <t>2000.00</t>
        </is>
      </c>
    </row>
    <row collapsed="false" customFormat="false" customHeight="false" hidden="false" ht="12.1" outlineLevel="0" r="42">
      <c r="A42" s="5" t="s">
        <f>=HYPERLINK("https://www.leilaoonline.net/lote/detalhe/107502", "3396")</f>
      </c>
      <c r="B42" s="4" t="s">
        <f>=HYPERLINK("https://www.leilaoonline.net/lote/detalhe/107502", " SR/SOUFER CFE 2E, 2011/2012, FR103987, LOC. BARRA ")</f>
      </c>
      <c r="C42" s="4" t="inlineStr">
        <is>
          <t>Não vendido</t>
        </is>
      </c>
      <c r="D42" s="4" t="inlineStr">
        <is>
          <t>20</t>
        </is>
      </c>
      <c r="E42" s="5" t="inlineStr">
        <is>
          <t>17.000,00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=HYPERLINK("https://www.leilaoonline.net/lote/detalhe/107577", "3398")</f>
      </c>
      <c r="B43" s="4" t="s">
        <f>=HYPERLINK("https://www.leilaoonline.net/lote/detalhe/107577", " 2 CABINES P/ COLHEDORAS, S/FR, LOC. BARRA")</f>
      </c>
      <c r="C43" s="4" t="inlineStr">
        <is>
          <t>Vendido</t>
        </is>
      </c>
      <c r="D43" s="4" t="inlineStr">
        <is>
          <t>18</t>
        </is>
      </c>
      <c r="E43" s="5" t="inlineStr">
        <is>
          <t>3.550,00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=HYPERLINK("https://www.leilaoonline.net/lote/detalhe/107518", "3399")</f>
      </c>
      <c r="B44" s="4" t="s">
        <f>=HYPERLINK("https://www.leilaoonline.net/lote/detalhe/107518", " TRATOR JOHN DEERE 7225J, ANO 2012,  FR23237, LOC. BARRA")</f>
      </c>
      <c r="C44" s="4" t="inlineStr">
        <is>
          <t>Não vendido</t>
        </is>
      </c>
      <c r="D44" s="4" t="inlineStr">
        <is>
          <t>125</t>
        </is>
      </c>
      <c r="E44" s="5" t="inlineStr">
        <is>
          <t>172.000,00</t>
        </is>
      </c>
      <c r="F44" s="4" t="inlineStr">
        <is>
          <t>2000.00</t>
        </is>
      </c>
    </row>
    <row collapsed="false" customFormat="false" customHeight="false" hidden="false" ht="12.1" outlineLevel="0" r="45">
      <c r="A45" s="5" t="s">
        <f>=HYPERLINK("https://www.leilaoonline.net/lote/detalhe/107514", "3400")</f>
      </c>
      <c r="B45" s="4" t="s">
        <f>=HYPERLINK("https://www.leilaoonline.net/lote/detalhe/107514", " REB FACCHINI RFRBC, ANO 1992, FR96159, LOC. BARRA")</f>
      </c>
      <c r="C45" s="4" t="inlineStr">
        <is>
          <t>Vendido</t>
        </is>
      </c>
      <c r="D45" s="4" t="inlineStr">
        <is>
          <t>18</t>
        </is>
      </c>
      <c r="E45" s="5" t="inlineStr">
        <is>
          <t>16.000,00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=HYPERLINK("https://www.leilaoonline.net/lote/detalhe/107541", "3401")</f>
      </c>
      <c r="B46" s="4" t="s">
        <f>=HYPERLINK("https://www.leilaoonline.net/lote/detalhe/107541", " COLHEDORA JOHN DEERE 3522 2L , ANO 2012, FR101480, LOC.BARRA  ")</f>
      </c>
      <c r="C46" s="4" t="inlineStr">
        <is>
          <t>Não vendido</t>
        </is>
      </c>
      <c r="D46" s="4" t="inlineStr">
        <is>
          <t>34</t>
        </is>
      </c>
      <c r="E46" s="5" t="inlineStr">
        <is>
          <t>64.500,00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=HYPERLINK("https://www.leilaoonline.net/lote/detalhe/107054", "3402")</f>
      </c>
      <c r="B47" s="4" t="s">
        <f>=HYPERLINK("https://www.leilaoonline.net/lote/detalhe/107054", " ACUMULADOR PT2010 NEW HOLLAND, ")</f>
      </c>
      <c r="C47" s="4" t="inlineStr">
        <is>
          <t>Vendido</t>
        </is>
      </c>
      <c r="D47" s="4" t="inlineStr">
        <is>
          <t>183</t>
        </is>
      </c>
      <c r="E47" s="5" t="inlineStr">
        <is>
          <t>97.000,00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=HYPERLINK("https://www.leilaoonline.net/lote/detalhe/107504", "3403")</f>
      </c>
      <c r="B48" s="4" t="s">
        <f>=HYPERLINK("https://www.leilaoonline.net/lote/detalhe/107504", " CULTIVADOR, ANO 2015, FR74029, LOC. BARRA")</f>
      </c>
      <c r="C48" s="4" t="inlineStr">
        <is>
          <t>Não vendido</t>
        </is>
      </c>
      <c r="D48" s="4" t="inlineStr">
        <is>
          <t>21</t>
        </is>
      </c>
      <c r="E48" s="5" t="inlineStr">
        <is>
          <t>5.000,00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=HYPERLINK("https://www.leilaoonline.net/lote/detalhe/107069", "3404")</f>
      </c>
      <c r="B49" s="4" t="s">
        <f>=HYPERLINK("https://www.leilaoonline.net/lote/detalhe/107069", "TRATOR VALTRA  BT 210 4X4, ANO 2016,  FR50844, LOC. BARRA ")</f>
      </c>
      <c r="C49" s="4" t="inlineStr">
        <is>
          <t>Não vendido</t>
        </is>
      </c>
      <c r="D49" s="4" t="inlineStr">
        <is>
          <t>130</t>
        </is>
      </c>
      <c r="E49" s="5" t="inlineStr">
        <is>
          <t>239.000,00</t>
        </is>
      </c>
      <c r="F49" s="4" t="inlineStr">
        <is>
          <t>1500.00</t>
        </is>
      </c>
    </row>
    <row collapsed="false" customFormat="false" customHeight="false" hidden="false" ht="12.1" outlineLevel="0" r="50">
      <c r="A50" s="5" t="s">
        <f>=HYPERLINK("https://www.leilaoonline.net/lote/detalhe/107062", "3405")</f>
      </c>
      <c r="B50" s="4" t="s">
        <f>=HYPERLINK("https://www.leilaoonline.net/lote/detalhe/107062", " ENFARDADORA PALHA ARRASTO, FR57430, LOC. BARRA ")</f>
      </c>
      <c r="C50" s="4" t="inlineStr">
        <is>
          <t>Vendido</t>
        </is>
      </c>
      <c r="D50" s="4" t="inlineStr">
        <is>
          <t>120</t>
        </is>
      </c>
      <c r="E50" s="5" t="inlineStr">
        <is>
          <t>74.000,00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=HYPERLINK("https://www.leilaoonline.net/lote/detalhe/107517", "3406")</f>
      </c>
      <c r="B51" s="4" t="s">
        <f>=HYPERLINK("https://www.leilaoonline.net/lote/detalhe/107517", " MAQUINA DE LAVAR ARROZ, FR136541, LOC. BARRA")</f>
      </c>
      <c r="C51" s="4" t="inlineStr">
        <is>
          <t>Não vendido</t>
        </is>
      </c>
      <c r="D51" s="4" t="inlineStr">
        <is>
          <t>3</t>
        </is>
      </c>
      <c r="E51" s="5" t="inlineStr">
        <is>
          <t>1.300,00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=HYPERLINK("https://www.leilaoonline.net/lote/detalhe/107500", "3407")</f>
      </c>
      <c r="B52" s="4" t="s">
        <f>=HYPERLINK("https://www.leilaoonline.net/lote/detalhe/107500", " CULTIVADOR, ANO 2006, FR139915, LOC. BARRA")</f>
      </c>
      <c r="C52" s="4" t="inlineStr">
        <is>
          <t>Vendido</t>
        </is>
      </c>
      <c r="D52" s="4" t="inlineStr">
        <is>
          <t>9</t>
        </is>
      </c>
      <c r="E52" s="5" t="inlineStr">
        <is>
          <t>3.200,00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=HYPERLINK("https://www.leilaoonline.net/lote/detalhe/107582", "3408")</f>
      </c>
      <c r="B53" s="4" t="s">
        <f>=HYPERLINK("https://www.leilaoonline.net/lote/detalhe/107582", "AERADOR DE PALHA, ANO 1982, FR103440, LOC. BARRA")</f>
      </c>
      <c r="C53" s="4" t="inlineStr">
        <is>
          <t>Vendido</t>
        </is>
      </c>
      <c r="D53" s="4" t="inlineStr">
        <is>
          <t>2</t>
        </is>
      </c>
      <c r="E53" s="5" t="inlineStr">
        <is>
          <t>2.150,00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=HYPERLINK("https://www.leilaoonline.net/lote/detalhe/107586", "3409")</f>
      </c>
      <c r="B54" s="4" t="s">
        <f>=HYPERLINK("https://www.leilaoonline.net/lote/detalhe/107586", " ENLEIRADEIRA, ANO 1983, FR103411, LOC. BARRA")</f>
      </c>
      <c r="C54" s="4" t="inlineStr">
        <is>
          <t>Vendido</t>
        </is>
      </c>
      <c r="D54" s="4" t="inlineStr">
        <is>
          <t>2</t>
        </is>
      </c>
      <c r="E54" s="5" t="inlineStr">
        <is>
          <t>2.150,00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=HYPERLINK("https://www.leilaoonline.net/lote/detalhe/107581", "3410")</f>
      </c>
      <c r="B55" s="4" t="s">
        <f>=HYPERLINK("https://www.leilaoonline.net/lote/detalhe/107581", " DESENLEIRADEIRA PALHA CARDEIROLI, ANO 2018, FR103094,LOC. BARRA 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1.000,00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=HYPERLINK("https://www.leilaoonline.net/lote/detalhe/107590", "3411")</f>
      </c>
      <c r="B56" s="4" t="s">
        <f>=HYPERLINK("https://www.leilaoonline.net/lote/detalhe/107590", " DESENLEIRADEIRA PALHA CARDEIROLI, ANO 2018, FR103096,LOC. BARRA ")</f>
      </c>
      <c r="C56" s="4" t="inlineStr">
        <is>
          <t>Não vendido</t>
        </is>
      </c>
      <c r="D56" s="4" t="inlineStr">
        <is>
          <t>3</t>
        </is>
      </c>
      <c r="E56" s="5" t="inlineStr">
        <is>
          <t>1.300,00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=HYPERLINK("https://www.leilaoonline.net/lote/detalhe/107574", "3412")</f>
      </c>
      <c r="B57" s="4" t="s">
        <f>=HYPERLINK("https://www.leilaoonline.net/lote/detalhe/107574", " DESENLEIRADEIRA PALHA CARDEIROLI, ANO 2018, FR103095,LOC. BARRA ")</f>
      </c>
      <c r="C57" s="4" t="inlineStr">
        <is>
          <t>Não vendido</t>
        </is>
      </c>
      <c r="D57" s="4" t="inlineStr">
        <is>
          <t>5</t>
        </is>
      </c>
      <c r="E57" s="5" t="inlineStr">
        <is>
          <t>1.600,00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=HYPERLINK("https://www.leilaoonline.net/lote/detalhe/107583", "3413")</f>
      </c>
      <c r="B58" s="4" t="s">
        <f>=HYPERLINK("https://www.leilaoonline.net/lote/detalhe/107583", " DESENLEIRADEIRA PALHA CARDEIROLI, ANO 2018, FR103097,LOC. BARRA 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1.000,00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=HYPERLINK("https://www.leilaoonline.net/lote/detalhe/107573", "3414")</f>
      </c>
      <c r="B59" s="4" t="s">
        <f>=HYPERLINK("https://www.leilaoonline.net/lote/detalhe/107573", " DESENLEIRADEIRA PALHA CARDEIROLI, ANO 2018, FR74045,LOC. BARRA ")</f>
      </c>
      <c r="C59" s="4" t="inlineStr">
        <is>
          <t>Não vendido</t>
        </is>
      </c>
      <c r="D59" s="4" t="inlineStr">
        <is>
          <t>2</t>
        </is>
      </c>
      <c r="E59" s="5" t="inlineStr">
        <is>
          <t>2.150,00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=HYPERLINK("https://www.leilaoonline.net/lote/detalhe/107575", "3415")</f>
      </c>
      <c r="B60" s="4" t="s">
        <f>=HYPERLINK("https://www.leilaoonline.net/lote/detalhe/107575", " DESENLEIRADEIRA PALHA CARDEIROLI, ANO 2018, FR103099, LOC. BARRA")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1.000,00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=HYPERLINK("https://www.leilaoonline.net/lote/detalhe/107585", "3416")</f>
      </c>
      <c r="B61" s="4" t="s">
        <f>=HYPERLINK("https://www.leilaoonline.net/lote/detalhe/107585", " ADUBADEIRA JM3520SH JUMIL, ANO 2011, FR103958, LOC. BARRA")</f>
      </c>
      <c r="C61" s="4" t="inlineStr">
        <is>
          <t>Vendido</t>
        </is>
      </c>
      <c r="D61" s="4" t="inlineStr">
        <is>
          <t>24</t>
        </is>
      </c>
      <c r="E61" s="5" t="inlineStr">
        <is>
          <t>4.450,00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=HYPERLINK("https://www.leilaoonline.net/lote/detalhe/107614", "3417")</f>
      </c>
      <c r="B62" s="4" t="s">
        <f>=HYPERLINK("https://www.leilaoonline.net/lote/detalhe/107614", " CULTIVADOR 2L CARDERROLI, ANO 2015, FR107853, LOC.BARRA")</f>
      </c>
      <c r="C62" s="4" t="inlineStr">
        <is>
          <t>Vendido</t>
        </is>
      </c>
      <c r="D62" s="4" t="inlineStr">
        <is>
          <t>21</t>
        </is>
      </c>
      <c r="E62" s="5" t="inlineStr">
        <is>
          <t>5.000,00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=HYPERLINK("https://www.leilaoonline.net/lote/detalhe/107579", "3418")</f>
      </c>
      <c r="B63" s="4" t="s">
        <f>=HYPERLINK("https://www.leilaoonline.net/lote/detalhe/107579", " COBRIDOR, ANO 2001, FR103478, LOC. BARRA")</f>
      </c>
      <c r="C63" s="4" t="inlineStr">
        <is>
          <t>Vendido</t>
        </is>
      </c>
      <c r="D63" s="4" t="inlineStr">
        <is>
          <t>30</t>
        </is>
      </c>
      <c r="E63" s="5" t="inlineStr">
        <is>
          <t>6.350,00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=HYPERLINK("https://www.leilaoonline.net/lote/detalhe/107621", "3419")</f>
      </c>
      <c r="B64" s="4" t="s">
        <f>=HYPERLINK("https://www.leilaoonline.net/lote/detalhe/107621", " CARROCERIA DE MADEIRA 3/4 SUCATEDA, S/FR, LOC.BARRA ")</f>
      </c>
      <c r="C64" s="4" t="inlineStr">
        <is>
          <t>Vendido</t>
        </is>
      </c>
      <c r="D64" s="4" t="inlineStr">
        <is>
          <t>49</t>
        </is>
      </c>
      <c r="E64" s="5" t="inlineStr">
        <is>
          <t>10.200,00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=HYPERLINK("https://www.leilaoonline.net/lote/detalhe/107593", "3420")</f>
      </c>
      <c r="B65" s="4" t="s">
        <f>=HYPERLINK("https://www.leilaoonline.net/lote/detalhe/107593", " SUCATA DE ADUBADEIRA JM3520SH JUMIL, ANO 2011, FR74027, LOC. BARRA")</f>
      </c>
      <c r="C65" s="4" t="inlineStr">
        <is>
          <t>Vendido</t>
        </is>
      </c>
      <c r="D65" s="4" t="inlineStr">
        <is>
          <t>20</t>
        </is>
      </c>
      <c r="E65" s="5" t="inlineStr">
        <is>
          <t>3.350,00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=HYPERLINK("https://www.leilaoonline.net/lote/detalhe/107595", "3421")</f>
      </c>
      <c r="B66" s="4" t="s">
        <f>=HYPERLINK("https://www.leilaoonline.net/lote/detalhe/107595", " ELIMINADOR DE SOQUEIRA DMB, ANO 2014, FR103875,LOC. BARRA")</f>
      </c>
      <c r="C66" s="4" t="inlineStr">
        <is>
          <t>Não vendido</t>
        </is>
      </c>
      <c r="D66" s="4" t="inlineStr">
        <is>
          <t>13</t>
        </is>
      </c>
      <c r="E66" s="5" t="inlineStr">
        <is>
          <t>3.800,00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=HYPERLINK("https://www.leilaoonline.net/lote/detalhe/107594", "3422")</f>
      </c>
      <c r="B67" s="4" t="s">
        <f>=HYPERLINK("https://www.leilaoonline.net/lote/detalhe/107594", " ELIMINADOR DE SOQUEIRA DMB, ANO 2014, FR103874,LOC. BARRA")</f>
      </c>
      <c r="C67" s="4" t="inlineStr">
        <is>
          <t>Não vendido</t>
        </is>
      </c>
      <c r="D67" s="4" t="inlineStr">
        <is>
          <t>10</t>
        </is>
      </c>
      <c r="E67" s="5" t="inlineStr">
        <is>
          <t>3.350,00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=HYPERLINK("https://www.leilaoonline.net/lote/detalhe/107597", "3423")</f>
      </c>
      <c r="B68" s="4" t="s">
        <f>=HYPERLINK("https://www.leilaoonline.net/lote/detalhe/107597", " DOIS TANQUES, FR603317, LOC. BARRA")</f>
      </c>
      <c r="C68" s="4" t="inlineStr">
        <is>
          <t>Vendido</t>
        </is>
      </c>
      <c r="D68" s="4" t="inlineStr">
        <is>
          <t>5</t>
        </is>
      </c>
      <c r="E68" s="5" t="inlineStr">
        <is>
          <t>1.600,00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=HYPERLINK("https://www.leilaoonline.net/lote/detalhe/107071", "3424")</f>
      </c>
      <c r="B69" s="4" t="s">
        <f>=HYPERLINK("https://www.leilaoonline.net/lote/detalhe/107071", " REBOQUE 4E Randon 12,5M, ANO 2010/2010, FR93635, LOC. BARRA ")</f>
      </c>
      <c r="C69" s="4" t="inlineStr">
        <is>
          <t>Não vendido</t>
        </is>
      </c>
      <c r="D69" s="4" t="inlineStr">
        <is>
          <t>11</t>
        </is>
      </c>
      <c r="E69" s="5" t="inlineStr">
        <is>
          <t>35.000,00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=HYPERLINK("https://www.leilaoonline.net/lote/detalhe/107047", "3425")</f>
      </c>
      <c r="B70" s="4" t="s">
        <f>=HYPERLINK("https://www.leilaoonline.net/lote/detalhe/107047", " REBOQUE 4E RANDON 12,5M, ANO 2010/2010, FR93637, LOC. BARRA ")</f>
      </c>
      <c r="C70" s="4" t="inlineStr">
        <is>
          <t>Vendido</t>
        </is>
      </c>
      <c r="D70" s="4" t="inlineStr">
        <is>
          <t>6</t>
        </is>
      </c>
      <c r="E70" s="5" t="inlineStr">
        <is>
          <t>37.000,00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=HYPERLINK("https://www.leilaoonline.net/lote/detalhe/107598", "3426")</f>
      </c>
      <c r="B71" s="4" t="s">
        <f>=HYPERLINK("https://www.leilaoonline.net/lote/detalhe/107598", " 2 ROSCAS INOX C/ APROX. 8M DE COMPRIMENTO C/ REDUTOR E 1 MOTOR ELETRICO, SF , LOC. BARRA")</f>
      </c>
      <c r="C71" s="4" t="inlineStr">
        <is>
          <t>Não vendido</t>
        </is>
      </c>
      <c r="D71" s="4" t="inlineStr">
        <is>
          <t>50</t>
        </is>
      </c>
      <c r="E71" s="5" t="inlineStr">
        <is>
          <t>15.250,00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=HYPERLINK("https://www.leilaoonline.net/lote/detalhe/107052", "3427")</f>
      </c>
      <c r="B72" s="4" t="s">
        <f>=HYPERLINK("https://www.leilaoonline.net/lote/detalhe/107052", " TRATOR VALTRA, ANO 2014,  FR106672,  ( OBS: MOTOR TRAVADO ) LOC. DIAMANTE ")</f>
      </c>
      <c r="C72" s="4" t="inlineStr">
        <is>
          <t>Não vendido</t>
        </is>
      </c>
      <c r="D72" s="4" t="inlineStr">
        <is>
          <t>116</t>
        </is>
      </c>
      <c r="E72" s="5" t="inlineStr">
        <is>
          <t>207.000,00</t>
        </is>
      </c>
      <c r="F72" s="4" t="inlineStr">
        <is>
          <t>1500.00</t>
        </is>
      </c>
    </row>
    <row collapsed="false" customFormat="false" customHeight="false" hidden="false" ht="12.1" outlineLevel="0" r="73">
      <c r="A73" s="5" t="s">
        <f>=HYPERLINK("https://www.leilaoonline.net/lote/detalhe/107082", "3428")</f>
      </c>
      <c r="B73" s="4" t="s">
        <f>=HYPERLINK("https://www.leilaoonline.net/lote/detalhe/107082", " TRATOR VALTRA 205I 4X4 HIFLOE,  ANO 2008,  FR163436, LOC. DIAMANTE ")</f>
      </c>
      <c r="C73" s="4" t="inlineStr">
        <is>
          <t>Não vendido</t>
        </is>
      </c>
      <c r="D73" s="4" t="inlineStr">
        <is>
          <t>66</t>
        </is>
      </c>
      <c r="E73" s="5" t="inlineStr">
        <is>
          <t>139.000,00</t>
        </is>
      </c>
      <c r="F73" s="4" t="inlineStr">
        <is>
          <t>1500.00</t>
        </is>
      </c>
    </row>
    <row collapsed="false" customFormat="false" customHeight="false" hidden="false" ht="12.1" outlineLevel="0" r="74">
      <c r="A74" s="5" t="s">
        <f>=HYPERLINK("https://www.leilaoonline.net/lote/detalhe/107086", "3429")</f>
      </c>
      <c r="B74" s="4" t="s">
        <f>=HYPERLINK("https://www.leilaoonline.net/lote/detalhe/107086", " TRATOR VALTRA BH 210I 4X4, ANO 2014,  FR106663, LOC. DIAMANTE ")</f>
      </c>
      <c r="C74" s="4" t="inlineStr">
        <is>
          <t>Não vendido</t>
        </is>
      </c>
      <c r="D74" s="4" t="inlineStr">
        <is>
          <t>124</t>
        </is>
      </c>
      <c r="E74" s="5" t="inlineStr">
        <is>
          <t>212.500,00</t>
        </is>
      </c>
      <c r="F74" s="4" t="inlineStr">
        <is>
          <t>1500.00</t>
        </is>
      </c>
    </row>
    <row collapsed="false" customFormat="false" customHeight="false" hidden="false" ht="12.1" outlineLevel="0" r="75">
      <c r="A75" s="5" t="s">
        <f>=HYPERLINK("https://www.leilaoonline.net/lote/detalhe/107067", "3430")</f>
      </c>
      <c r="B75" s="4" t="s">
        <f>=HYPERLINK("https://www.leilaoonline.net/lote/detalhe/107067", " TRANSBORDO COR AZUL SERMAG, FR107698, LOC. DIAMANTE ")</f>
      </c>
      <c r="C75" s="4" t="inlineStr">
        <is>
          <t>Não vendido</t>
        </is>
      </c>
      <c r="D75" s="4" t="inlineStr">
        <is>
          <t>19</t>
        </is>
      </c>
      <c r="E75" s="5" t="inlineStr">
        <is>
          <t>14.000,00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=HYPERLINK("https://www.leilaoonline.net/lote/detalhe/107049", "3431")</f>
      </c>
      <c r="B76" s="4" t="s">
        <f>=HYPERLINK("https://www.leilaoonline.net/lote/detalhe/107049", " TRANSBORDO SANTAL 12 T, FR107702, LOC. DIAMANTE ")</f>
      </c>
      <c r="C76" s="4" t="inlineStr">
        <is>
          <t>Vendido</t>
        </is>
      </c>
      <c r="D76" s="4" t="inlineStr">
        <is>
          <t>10</t>
        </is>
      </c>
      <c r="E76" s="5" t="inlineStr">
        <is>
          <t>9.500,00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=HYPERLINK("https://www.leilaoonline.net/lote/detalhe/107066", "3432")</f>
      </c>
      <c r="B77" s="4" t="s">
        <f>=HYPERLINK("https://www.leilaoonline.net/lote/detalhe/107066", " TRANSBORDO SANTAL 12 T, FR107701, LOC. DIAMANTE ")</f>
      </c>
      <c r="C77" s="4" t="inlineStr">
        <is>
          <t>Não vendido</t>
        </is>
      </c>
      <c r="D77" s="4" t="inlineStr">
        <is>
          <t>20</t>
        </is>
      </c>
      <c r="E77" s="5" t="inlineStr">
        <is>
          <t>14.500,00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=HYPERLINK("https://www.leilaoonline.net/lote/detalhe/107630", "3433")</f>
      </c>
      <c r="B78" s="4" t="s">
        <f>=HYPERLINK("https://www.leilaoonline.net/lote/detalhe/107630", " LOTE DE SUCATA ELETRONICA/ELETRICA, CONTENDO MOTORES, PAINEIS /LUMINARIAS, S/SF, LOC. DIAMANTE   ")</f>
      </c>
      <c r="C78" s="4" t="inlineStr">
        <is>
          <t>Não vendido</t>
        </is>
      </c>
      <c r="D78" s="4" t="inlineStr">
        <is>
          <t>9</t>
        </is>
      </c>
      <c r="E78" s="5" t="inlineStr">
        <is>
          <t>3.500,00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=HYPERLINK("https://www.leilaoonline.net/lote/detalhe/107631", "3434")</f>
      </c>
      <c r="B79" s="4" t="s">
        <f>=HYPERLINK("https://www.leilaoonline.net/lote/detalhe/107631", " CENTRIFUCA DE AÇUCAR PATRIMONIO 93406, S/SF, LOC. DIAMANTE ")</f>
      </c>
      <c r="C79" s="4" t="inlineStr">
        <is>
          <t>Não vendido</t>
        </is>
      </c>
      <c r="D79" s="4" t="inlineStr">
        <is>
          <t>2</t>
        </is>
      </c>
      <c r="E79" s="5" t="inlineStr">
        <is>
          <t>1.150,00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=HYPERLINK("https://www.leilaoonline.net/lote/detalhe/107617", "3436")</f>
      </c>
      <c r="B80" s="4" t="s">
        <f>=HYPERLINK("https://www.leilaoonline.net/lote/detalhe/107617", " SUCATA ELETRONICA, 6 ROLOS DE BORRACHA, REATORES, CABOS ALUMINIO, HOLOFOTES (APROX 20), 30 ANEIS DE BORRACHA, CARCAÇA DE REDUTOR E 2 BEBEDOUROS, ANO 2015, LOC. SANTA CANDIDA")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2.000,00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=HYPERLINK("https://www.leilaoonline.net/lote/detalhe/107604", "3437")</f>
      </c>
      <c r="B81" s="4" t="s">
        <f>=HYPERLINK("https://www.leilaoonline.net/lote/detalhe/107604", " FIAT STRADA WORKING, 2015/2016, FR19617, LOC. SANTA CANDIDA")</f>
      </c>
      <c r="C81" s="4" t="inlineStr">
        <is>
          <t>Não vendido</t>
        </is>
      </c>
      <c r="D81" s="4" t="inlineStr">
        <is>
          <t>35</t>
        </is>
      </c>
      <c r="E81" s="5" t="inlineStr">
        <is>
          <t>35.000,00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=HYPERLINK("https://www.leilaoonline.net/lote/detalhe/107051", "3438")</f>
      </c>
      <c r="B82" s="4" t="s">
        <f>=HYPERLINK("https://www.leilaoonline.net/lote/detalhe/107051", " VW/NOVO GOL TL MBV, ANO 2016/2017, FR20073, LOC.SANTA CANDIDA ")</f>
      </c>
      <c r="C82" s="4" t="inlineStr">
        <is>
          <t>Não vendido</t>
        </is>
      </c>
      <c r="D82" s="4" t="inlineStr">
        <is>
          <t>30</t>
        </is>
      </c>
      <c r="E82" s="5" t="inlineStr">
        <is>
          <t>27.000,00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=HYPERLINK("https://www.leilaoonline.net/lote/detalhe/107087", "3439")</f>
      </c>
      <c r="B83" s="4" t="s">
        <f>=HYPERLINK("https://www.leilaoonline.net/lote/detalhe/107087", "TRATOR VALTRA BT 190 4x4, ANO 2014,  FR100926, LOC. SANTA CANDIDA ")</f>
      </c>
      <c r="C83" s="4" t="inlineStr">
        <is>
          <t>Não vendido</t>
        </is>
      </c>
      <c r="D83" s="4" t="inlineStr">
        <is>
          <t>127</t>
        </is>
      </c>
      <c r="E83" s="5" t="inlineStr">
        <is>
          <t>217.000,00</t>
        </is>
      </c>
      <c r="F83" s="4" t="inlineStr">
        <is>
          <t>1500.00</t>
        </is>
      </c>
    </row>
    <row collapsed="false" customFormat="false" customHeight="false" hidden="false" ht="12.1" outlineLevel="0" r="84">
      <c r="A84" s="5" t="s">
        <f>=HYPERLINK("https://www.leilaoonline.net/lote/detalhe/107608", "3440")</f>
      </c>
      <c r="B84" s="4" t="s">
        <f>=HYPERLINK("https://www.leilaoonline.net/lote/detalhe/107608", " 7 BAGS COM ABRAÇADEIRAS E CONEXÕES DE ALUMINIO   2 BAGS COM ABRAÇADEIRAS DE INOX   5 BAGS DE ANEIS DE BORRACHA, LOC. SANTA CANDIDA")</f>
      </c>
      <c r="C84" s="4" t="inlineStr">
        <is>
          <t>Não vendido</t>
        </is>
      </c>
      <c r="D84" s="4" t="inlineStr">
        <is>
          <t>7</t>
        </is>
      </c>
      <c r="E84" s="5" t="inlineStr">
        <is>
          <t>2.900,00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=HYPERLINK("https://www.leilaoonline.net/lote/detalhe/107609", "3441")</f>
      </c>
      <c r="B85" s="4" t="s">
        <f>=HYPERLINK("https://www.leilaoonline.net/lote/detalhe/107609", " BOMBA CENTRÍFUGA IMBIL, FR241204, LOC. SANTA CANDIDA")</f>
      </c>
      <c r="C85" s="4" t="inlineStr">
        <is>
          <t>Vendido</t>
        </is>
      </c>
      <c r="D85" s="4" t="inlineStr">
        <is>
          <t>1</t>
        </is>
      </c>
      <c r="E85" s="5" t="inlineStr">
        <is>
          <t>1.300,00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=HYPERLINK("https://www.leilaoonline.net/lote/detalhe/107615", "3442")</f>
      </c>
      <c r="B86" s="4" t="s">
        <f>=HYPERLINK("https://www.leilaoonline.net/lote/detalhe/107615", " REBOQUE RODOVIARIA 7,60M COM TANQUE, ANO 1990, FR20094, LOC.SANTA CANDIDA ")</f>
      </c>
      <c r="C86" s="4" t="inlineStr">
        <is>
          <t>Não vendido</t>
        </is>
      </c>
      <c r="D86" s="4" t="inlineStr">
        <is>
          <t>7</t>
        </is>
      </c>
      <c r="E86" s="5" t="inlineStr">
        <is>
          <t>13.000,00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=HYPERLINK("https://www.leilaoonline.net/lote/detalhe/107081", "3443")</f>
      </c>
      <c r="B87" s="4" t="s">
        <f>=HYPERLINK("https://www.leilaoonline.net/lote/detalhe/107081", " TRANSBORDO  ATA 12000 12T, FR102003, LOC. SANTA CANDIDA ")</f>
      </c>
      <c r="C87" s="4" t="inlineStr">
        <is>
          <t>Não vendido</t>
        </is>
      </c>
      <c r="D87" s="4" t="inlineStr">
        <is>
          <t>4</t>
        </is>
      </c>
      <c r="E87" s="5" t="inlineStr">
        <is>
          <t>6.500,00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=HYPERLINK("https://www.leilaoonline.net/lote/detalhe/107629", "3444")</f>
      </c>
      <c r="B88" s="4" t="s">
        <f>=HYPERLINK("https://www.leilaoonline.net/lote/detalhe/107629", " 33 PNEUS USADOS DIVERSOS MODELOS, S/SF, LOC. SANTA CANDIDA")</f>
      </c>
      <c r="C88" s="4" t="inlineStr">
        <is>
          <t>Não vendido</t>
        </is>
      </c>
      <c r="D88" s="4" t="inlineStr">
        <is>
          <t>65</t>
        </is>
      </c>
      <c r="E88" s="5" t="inlineStr">
        <is>
          <t>16.300,00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=HYPERLINK("https://www.leilaoonline.net/lote/detalhe/107616", "3445")</f>
      </c>
      <c r="B89" s="4" t="s">
        <f>=HYPERLINK("https://www.leilaoonline.net/lote/detalhe/107616", " SUCATA DE MOTOR/CAMBIO MERCEDES BENZ, SF, LOC. SANTA CANDIDA")</f>
      </c>
      <c r="C89" s="4" t="inlineStr">
        <is>
          <t>Vendido</t>
        </is>
      </c>
      <c r="D89" s="4" t="inlineStr">
        <is>
          <t>54</t>
        </is>
      </c>
      <c r="E89" s="5" t="inlineStr">
        <is>
          <t>18.000,00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=HYPERLINK("https://www.leilaoonline.net/lote/detalhe/107618", "3446")</f>
      </c>
      <c r="B90" s="4" t="s">
        <f>=HYPERLINK("https://www.leilaoonline.net/lote/detalhe/107618", " CULTIVADOR DMB, FR20214, LOC. SANTA CANDIDA")</f>
      </c>
      <c r="C90" s="4" t="inlineStr">
        <is>
          <t>Vendido</t>
        </is>
      </c>
      <c r="D90" s="4" t="inlineStr">
        <is>
          <t>3</t>
        </is>
      </c>
      <c r="E90" s="5" t="inlineStr">
        <is>
          <t>2.700,00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=HYPERLINK("https://www.leilaoonline.net/lote/detalhe/107612", "3447")</f>
      </c>
      <c r="B91" s="4" t="s">
        <f>=HYPERLINK("https://www.leilaoonline.net/lote/detalhe/107612", " TRATOR CASE MAGNUM 260, ANO 2017, FR173337, LOC.SANTA CANDIDA")</f>
      </c>
      <c r="C91" s="4" t="inlineStr">
        <is>
          <t>Vendido</t>
        </is>
      </c>
      <c r="D91" s="4" t="inlineStr">
        <is>
          <t>115</t>
        </is>
      </c>
      <c r="E91" s="5" t="inlineStr">
        <is>
          <t>244.000,00</t>
        </is>
      </c>
      <c r="F91" s="4" t="inlineStr">
        <is>
          <t>2000.00</t>
        </is>
      </c>
    </row>
    <row collapsed="false" customFormat="false" customHeight="false" hidden="false" ht="12.1" outlineLevel="0" r="92">
      <c r="A92" s="5" t="s">
        <f>=HYPERLINK("https://www.leilaoonline.net/lote/detalhe/107611", "3448")</f>
      </c>
      <c r="B92" s="4" t="s">
        <f>=HYPERLINK("https://www.leilaoonline.net/lote/detalhe/107611", " TRATOR VALTRA BH 210I 4X4, FR 18073/18055, ANO 2015, LOC. SANTA CANDIDA")</f>
      </c>
      <c r="C92" s="4" t="inlineStr">
        <is>
          <t>Vendido</t>
        </is>
      </c>
      <c r="D92" s="4" t="inlineStr">
        <is>
          <t>77</t>
        </is>
      </c>
      <c r="E92" s="5" t="inlineStr">
        <is>
          <t>186.000,00</t>
        </is>
      </c>
      <c r="F92" s="4" t="inlineStr">
        <is>
          <t>2000.00</t>
        </is>
      </c>
    </row>
    <row collapsed="false" customFormat="false" customHeight="false" hidden="false" ht="12.1" outlineLevel="0" r="93">
      <c r="A93" s="5" t="s">
        <f>=HYPERLINK("https://www.leilaoonline.net/lote/detalhe/107079", "3449")</f>
      </c>
      <c r="B93" s="4" t="s">
        <f>=HYPERLINK("https://www.leilaoonline.net/lote/detalhe/107079", " COLHEDORA J. Deere 3522 2L ANO 2010, FR101462, LOC. SANTA CANDIDA")</f>
      </c>
      <c r="C93" s="4" t="inlineStr">
        <is>
          <t>Não vendido</t>
        </is>
      </c>
      <c r="D93" s="4" t="inlineStr">
        <is>
          <t>7</t>
        </is>
      </c>
      <c r="E93" s="5" t="inlineStr">
        <is>
          <t>31.000,00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=HYPERLINK("https://www.leilaoonline.net/lote/detalhe/107058", "3450")</f>
      </c>
      <c r="B94" s="4" t="s">
        <f>=HYPERLINK("https://www.leilaoonline.net/lote/detalhe/107058", " S/REBOQUE RANDON 12,50M CANA INTEIRA, ANO 2008/2008, FR10234, LOC.SANTA CANDIDA ")</f>
      </c>
      <c r="C94" s="4" t="inlineStr">
        <is>
          <t>Vendido</t>
        </is>
      </c>
      <c r="D94" s="4" t="inlineStr">
        <is>
          <t>23</t>
        </is>
      </c>
      <c r="E94" s="5" t="inlineStr">
        <is>
          <t>47.000,00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=HYPERLINK("https://www.leilaoonline.net/lote/detalhe/107048", "3451")</f>
      </c>
      <c r="B95" s="4" t="s">
        <f>=HYPERLINK("https://www.leilaoonline.net/lote/detalhe/107048", " S/REBOQUE RANDON 11,80M CANA INTEIRA, ANO 2007/2007, FR121400,LOC.SANTA CANDIDA ")</f>
      </c>
      <c r="C95" s="4" t="inlineStr">
        <is>
          <t>Vendido</t>
        </is>
      </c>
      <c r="D95" s="4" t="inlineStr">
        <is>
          <t>2</t>
        </is>
      </c>
      <c r="E95" s="5" t="inlineStr">
        <is>
          <t>26.000,00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=HYPERLINK("https://www.leilaoonline.net/lote/detalhe/107055", "3452")</f>
      </c>
      <c r="B96" s="4" t="s">
        <f>=HYPERLINK("https://www.leilaoonline.net/lote/detalhe/107055", " S/REBOQUE RANDON 11,80 M CANA INTEIRA, ANO 2007/2007, FR121407, LOC.SANTA CANDIDA ")</f>
      </c>
      <c r="C96" s="4" t="inlineStr">
        <is>
          <t>Vendido</t>
        </is>
      </c>
      <c r="D96" s="4" t="inlineStr">
        <is>
          <t>1</t>
        </is>
      </c>
      <c r="E96" s="5" t="inlineStr">
        <is>
          <t>20.000,00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=HYPERLINK("https://www.leilaoonline.net/lote/detalhe/107610", "3453")</f>
      </c>
      <c r="B97" s="4" t="s">
        <f>=HYPERLINK("https://www.leilaoonline.net/lote/detalhe/107610", " APROX. 60 PLACAS DE TROCADOR DE CALOR, SF, LOC. PARAÍSO")</f>
      </c>
      <c r="C97" s="4" t="inlineStr">
        <is>
          <t>Vendido</t>
        </is>
      </c>
      <c r="D97" s="4" t="inlineStr">
        <is>
          <t>2</t>
        </is>
      </c>
      <c r="E97" s="5" t="inlineStr">
        <is>
          <t>2.150,00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=HYPERLINK("https://www.leilaoonline.net/lote/detalhe/107619", "3454")</f>
      </c>
      <c r="B98" s="4" t="s">
        <f>=HYPERLINK("https://www.leilaoonline.net/lote/detalhe/107619", " LOTE CONTENDO MATERIAL ELÉTRICO, HIDRAULICO E EQUIPAMENTOS: 5 PALLETS C/ VALVULAS, 13 MOTORES ELÉTRICOS, 2 MOTO REDUTORES, MOTO BOMBA, COMPRESSOR ELÉTRICO, MAQ. DE SOLDA, BOMBA CENTRIFUGA, ANEIS DE BORRACHA, FRIGOBAR, LUMINARIAS, ROLO COM ESTEIRA DE BORRACHA BRANCA,MAT. DE INSTRUMENTACAO HIDRAULICA")</f>
      </c>
      <c r="C98" s="4" t="inlineStr">
        <is>
          <t>Vendido</t>
        </is>
      </c>
      <c r="D98" s="4" t="inlineStr">
        <is>
          <t>85</t>
        </is>
      </c>
      <c r="E98" s="5" t="inlineStr">
        <is>
          <t>50.000,00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=HYPERLINK("https://www.leilaoonline.net/lote/detalhe/107613", "3455")</f>
      </c>
      <c r="B99" s="4" t="s">
        <f>=HYPERLINK("https://www.leilaoonline.net/lote/detalhe/107613", " LOTE COM 2 BATCH CONTROLLER, SF,  LOC. PARAÍSO")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=HYPERLINK("https://www.leilaoonline.net/lote/detalhe/107607", "3456")</f>
      </c>
      <c r="B100" s="4" t="s">
        <f>=HYPERLINK("https://www.leilaoonline.net/lote/detalhe/107607", " ENLEIRADEIRA, FR92848,  LOC. PARAÍSO")</f>
      </c>
      <c r="C100" s="4" t="inlineStr">
        <is>
          <t>Vendido</t>
        </is>
      </c>
      <c r="D100" s="4" t="inlineStr">
        <is>
          <t>1</t>
        </is>
      </c>
      <c r="E100" s="5" t="inlineStr">
        <is>
          <t>2.000,00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=HYPERLINK("https://www.leilaoonline.net/lote/detalhe/107602", "3457")</f>
      </c>
      <c r="B101" s="4" t="s">
        <f>=HYPERLINK("https://www.leilaoonline.net/lote/detalhe/107602", " ENLEIRADEIRA, SF,  LOC. PARAÍSO")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2.000,00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=HYPERLINK("https://www.leilaoonline.net/lote/detalhe/107603", "3458")</f>
      </c>
      <c r="B102" s="4" t="s">
        <f>=HYPERLINK("https://www.leilaoonline.net/lote/detalhe/107603", " 2 QUADROS DE IMPLEMENTOS AGRÍCOLAS E 10 PNEUS SUCATEADOS, FR19932/19943,  LOC. PARAÍSO")</f>
      </c>
      <c r="C102" s="4" t="inlineStr">
        <is>
          <t>Vendido</t>
        </is>
      </c>
      <c r="D102" s="4" t="inlineStr">
        <is>
          <t>40</t>
        </is>
      </c>
      <c r="E102" s="5" t="inlineStr">
        <is>
          <t>9.950,00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=HYPERLINK("https://www.leilaoonline.net/lote/detalhe/107599", "3459")</f>
      </c>
      <c r="B103" s="4" t="s">
        <f>=HYPERLINK("https://www.leilaoonline.net/lote/detalhe/107599", " CULTIV.DIST. ADUBO DMB 2L, ANO 2006, FR57249,  LOC. PARAÍSO")</f>
      </c>
      <c r="C103" s="4" t="inlineStr">
        <is>
          <t>Vendido</t>
        </is>
      </c>
      <c r="D103" s="4" t="inlineStr">
        <is>
          <t>11</t>
        </is>
      </c>
      <c r="E103" s="5" t="inlineStr">
        <is>
          <t>4.400,00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=HYPERLINK("https://www.leilaoonline.net/lote/detalhe/107600", "3460")</f>
      </c>
      <c r="B104" s="4" t="s">
        <f>=HYPERLINK("https://www.leilaoonline.net/lote/detalhe/107600", " CULTIVADOR COMB CANA DRIA, ANO 2017, FR20285,  LOC. PARAÍSO")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=HYPERLINK("https://www.leilaoonline.net/lote/detalhe/107596", "3461")</f>
      </c>
      <c r="B105" s="4" t="s">
        <f>=HYPERLINK("https://www.leilaoonline.net/lote/detalhe/107596", " CULTIVADOR, ANO 2006, FR139910,  LOC. PARAISO")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2.000,00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=HYPERLINK("https://www.leilaoonline.net/lote/detalhe/107601", "3462")</f>
      </c>
      <c r="B106" s="4" t="s">
        <f>=HYPERLINK("https://www.leilaoonline.net/lote/detalhe/107601", " LAMINA PEQUENA, S/FR,  LOC. PARAÍSO")</f>
      </c>
      <c r="C106" s="4" t="inlineStr">
        <is>
          <t>Vendido</t>
        </is>
      </c>
      <c r="D106" s="4" t="inlineStr">
        <is>
          <t>1</t>
        </is>
      </c>
      <c r="E106" s="5" t="inlineStr">
        <is>
          <t>1.000,00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=HYPERLINK("https://www.leilaoonline.net/lote/detalhe/107605", "3463")</f>
      </c>
      <c r="B107" s="4" t="s">
        <f>=HYPERLINK("https://www.leilaoonline.net/lote/detalhe/107605", " IMPLEMENTO AGRÍCOLA, FR48166,  LOC. PARAÍSO")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2.000,00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=HYPERLINK("https://www.leilaoonline.net/lote/detalhe/107626", "3464")</f>
      </c>
      <c r="B108" s="4" t="s">
        <f>=HYPERLINK("https://www.leilaoonline.net/lote/detalhe/107626", " 6 KIT DO PROLONGADOR DO EIXO DIANTEIRO DO TRATOR VALTRA CVT., LOC. PARAISO ")</f>
      </c>
      <c r="C108" s="4" t="inlineStr">
        <is>
          <t>Vendido</t>
        </is>
      </c>
      <c r="D108" s="4" t="inlineStr">
        <is>
          <t>93</t>
        </is>
      </c>
      <c r="E108" s="5" t="inlineStr">
        <is>
          <t>26.000,00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=HYPERLINK("https://www.leilaoonline.net/lote/detalhe/107627", "3465")</f>
      </c>
      <c r="B109" s="4" t="s">
        <f>=HYPERLINK("https://www.leilaoonline.net/lote/detalhe/107627", " TRANSBORDO, FR101949, LOC.PARAISO ")</f>
      </c>
      <c r="C109" s="4" t="inlineStr">
        <is>
          <t>Não vendido</t>
        </is>
      </c>
      <c r="D109" s="4" t="inlineStr">
        <is>
          <t>24</t>
        </is>
      </c>
      <c r="E109" s="5" t="inlineStr">
        <is>
          <t>5.750,00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=HYPERLINK("https://www.leilaoonline.net/lote/detalhe/107057", "3466")</f>
      </c>
      <c r="B110" s="4" t="s">
        <f>=HYPERLINK("https://www.leilaoonline.net/lote/detalhe/107057", " TRANSBORDO SANTAL 12 T, ANO 2010, FR47041, LOC. PARAISO ")</f>
      </c>
      <c r="C110" s="4" t="inlineStr">
        <is>
          <t>Vendido</t>
        </is>
      </c>
      <c r="D110" s="4" t="inlineStr">
        <is>
          <t>20</t>
        </is>
      </c>
      <c r="E110" s="5" t="inlineStr">
        <is>
          <t>14.500,00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=HYPERLINK("https://www.leilaoonline.net/lote/detalhe/105732", "3578")</f>
      </c>
      <c r="B111" s="4" t="s">
        <f>=HYPERLINK("https://www.leilaoonline.net/lote/detalhe/105732", "LOTE UNICO, 3 APERELHO DE SOM, 7 CADEIRAS, 7 SUPORTES DE COMPUTADOR, 1 ARMÁRIO DE MEDICAMENTOS ( OBS. VIDRO TRINCADO),  1 DVD, 1 TV  TUBO , SF, LOC. FUNDAÇÃO RAIZEN / JAÚ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=HYPERLINK("https://www.leilaoonline.net/lote/detalhe/107606", "4157")</f>
      </c>
      <c r="B112" s="4" t="s">
        <f>=HYPERLINK("https://www.leilaoonline.net/lote/detalhe/107606", " CARRETA EXPINHA DE PEIXE, FR19981,  LOC. PARAÍSO")</f>
      </c>
      <c r="C112" s="4" t="inlineStr">
        <is>
          <t>Não vendido</t>
        </is>
      </c>
      <c r="D112" s="4" t="inlineStr">
        <is>
          <t>2</t>
        </is>
      </c>
      <c r="E112" s="5" t="inlineStr">
        <is>
          <t>2.150,00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=HYPERLINK("https://www.leilaoonline.net/lote/detalhe/107624", "4176")</f>
      </c>
      <c r="B113" s="4" t="s">
        <f>=HYPERLINK("https://www.leilaoonline.net/lote/detalhe/107624", " TRANSPORTADOR METALICO TIPO:METALICO COMP:19000MM, FR244933, LOC. PARAÍSO")</f>
      </c>
      <c r="C113" s="4" t="inlineStr">
        <is>
          <t>Não vendido</t>
        </is>
      </c>
      <c r="D113" s="4" t="inlineStr">
        <is>
          <t>32</t>
        </is>
      </c>
      <c r="E113" s="5" t="inlineStr">
        <is>
          <t>9.550,00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=HYPERLINK("https://www.leilaoonline.net/lote/detalhe/107622", "4177")</f>
      </c>
      <c r="B114" s="4" t="s">
        <f>=HYPERLINK("https://www.leilaoonline.net/lote/detalhe/107622", " 2 TRANSPORTADORES DE ESTEIRA HMBL MOD:1C 24X8, FR244935, LOC.PARAISO ")</f>
      </c>
      <c r="C114" s="4" t="inlineStr">
        <is>
          <t>Vendido</t>
        </is>
      </c>
      <c r="D114" s="4" t="inlineStr">
        <is>
          <t>10</t>
        </is>
      </c>
      <c r="E114" s="5" t="inlineStr">
        <is>
          <t>4.150,00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=HYPERLINK("https://www.leilaoonline.net/lote/detalhe/107625", "4178")</f>
      </c>
      <c r="B115" s="4" t="s">
        <f>=HYPERLINK("https://www.leilaoonline.net/lote/detalhe/107625", " TRANSPORTADOR METALICO HMBL MOD:TCR 24X700M, FR244926, LOC.PARAISO ")</f>
      </c>
      <c r="C115" s="4" t="inlineStr">
        <is>
          <t>Vendido</t>
        </is>
      </c>
      <c r="D115" s="4" t="inlineStr">
        <is>
          <t>12</t>
        </is>
      </c>
      <c r="E115" s="5" t="inlineStr">
        <is>
          <t>4.550,00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=HYPERLINK("https://www.leilaoonline.net/lote/detalhe/107620", "4180")</f>
      </c>
      <c r="B116" s="4" t="s">
        <f>=HYPERLINK("https://www.leilaoonline.net/lote/detalhe/107620", " TRANSPORTADOR METALICO HMBL MOD:TCR 24X700M, FR244929, LOC.PARAISO ")</f>
      </c>
      <c r="C116" s="4" t="inlineStr">
        <is>
          <t>Vendido</t>
        </is>
      </c>
      <c r="D116" s="4" t="inlineStr">
        <is>
          <t>9</t>
        </is>
      </c>
      <c r="E116" s="5" t="inlineStr">
        <is>
          <t>3.900,00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=HYPERLINK("https://www.leilaoonline.net/lote/detalhe/107632", "5123")</f>
      </c>
      <c r="B117" s="4" t="s">
        <f>=HYPERLINK("https://www.leilaoonline.net/lote/detalhe/107632", " SUCATA DE MOTOR E TANQUE, LOC. PARAISO ")</f>
      </c>
      <c r="C117" s="4" t="inlineStr">
        <is>
          <t>Vendido</t>
        </is>
      </c>
      <c r="D117" s="4" t="inlineStr">
        <is>
          <t>15</t>
        </is>
      </c>
      <c r="E117" s="5" t="inlineStr">
        <is>
          <t>4.300,00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=HYPERLINK("https://www.leilaoonline.net/lote/detalhe/108400", "11114")</f>
      </c>
      <c r="B118" s="4" t="s">
        <f>=HYPERLINK("https://www.leilaoonline.net/lote/detalhe/108400", " REBOQUE CANA PICADA RANDON, ANO 2012/2012, FR121529, LOC. BONFIM ")</f>
      </c>
      <c r="C118" s="4" t="inlineStr">
        <is>
          <t>Vendido</t>
        </is>
      </c>
      <c r="D118" s="4" t="inlineStr">
        <is>
          <t>2</t>
        </is>
      </c>
      <c r="E118" s="5" t="inlineStr">
        <is>
          <t>41.000,00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=HYPERLINK("https://www.leilaoonline.net/lote/detalhe/108399", "11115")</f>
      </c>
      <c r="B119" s="4" t="s">
        <f>=HYPERLINK("https://www.leilaoonline.net/lote/detalhe/108399", " REBOQUE RANDON, ANO 2012/2012, FR121509, LOC. BONFIM ")</f>
      </c>
      <c r="C119" s="4" t="inlineStr">
        <is>
          <t>Vendido</t>
        </is>
      </c>
      <c r="D119" s="4" t="inlineStr">
        <is>
          <t>2</t>
        </is>
      </c>
      <c r="E119" s="5" t="inlineStr">
        <is>
          <t>40.500,00</t>
        </is>
      </c>
      <c r="F119" s="4" t="inlineStr">
        <is>
          <t>1000.00</t>
        </is>
      </c>
    </row>
    <row collapsed="false" customFormat="false" customHeight="false" hidden="false" ht="12.1" outlineLevel="0" r="120">
      <c r="A120" s="5" t="s">
        <f>=HYPERLINK("https://www.leilaoonline.net/lote/detalhe/108401", "11117")</f>
      </c>
      <c r="B120" s="4" t="s">
        <f>=HYPERLINK("https://www.leilaoonline.net/lote/detalhe/108401", " REBOQUE RANDON, ANO 2012/2012, FR 121507, LOC. BONFIM ")</f>
      </c>
      <c r="C120" s="4" t="inlineStr">
        <is>
          <t>Vendido</t>
        </is>
      </c>
      <c r="D120" s="4" t="inlineStr">
        <is>
          <t>1</t>
        </is>
      </c>
      <c r="E120" s="5" t="inlineStr">
        <is>
          <t>38.000,00</t>
        </is>
      </c>
      <c r="F120" s="4" t="inlineStr">
        <is>
          <t>1000.00</t>
        </is>
      </c>
    </row>
    <row collapsed="false" customFormat="false" customHeight="false" hidden="false" ht="12.1" outlineLevel="0" r="121">
      <c r="A121" s="5" t="s">
        <f>=HYPERLINK("https://www.leilaoonline.net/lote/detalhe/108402", "11120")</f>
      </c>
      <c r="B121" s="4" t="s">
        <f>=HYPERLINK("https://www.leilaoonline.net/lote/detalhe/108402", " REBOQUE CANA PICADA RANDON, ANO 2012/ 2012,  FR121508, LOC. BONFIM ")</f>
      </c>
      <c r="C121" s="4" t="inlineStr">
        <is>
          <t>Vendido</t>
        </is>
      </c>
      <c r="D121" s="4" t="inlineStr">
        <is>
          <t>1</t>
        </is>
      </c>
      <c r="E121" s="5" t="inlineStr">
        <is>
          <t>35.000,00</t>
        </is>
      </c>
      <c r="F121" s="4" t="inlineStr">
        <is>
          <t>1000.00</t>
        </is>
      </c>
    </row>
    <row collapsed="false" customFormat="false" customHeight="false" hidden="false" ht="12.1" outlineLevel="0" r="122">
      <c r="A122" s="5" t="s">
        <f>=HYPERLINK("https://www.leilaoonline.net/lote/detalhe/108398", "11125")</f>
      </c>
      <c r="B122" s="4" t="s">
        <f>=HYPERLINK("https://www.leilaoonline.net/lote/detalhe/108398", " REBOQUE RANDON ANO 2012/2012 , FR 121510, LOC. BONFIM")</f>
      </c>
      <c r="C122" s="4" t="inlineStr">
        <is>
          <t>Vendido</t>
        </is>
      </c>
      <c r="D122" s="4" t="inlineStr">
        <is>
          <t>1</t>
        </is>
      </c>
      <c r="E122" s="5" t="inlineStr">
        <is>
          <t>40.000,00</t>
        </is>
      </c>
      <c r="F122" s="4" t="inlineStr">
        <is>
          <t>1000.00</t>
        </is>
      </c>
    </row>
    <row collapsed="false" customFormat="false" customHeight="false" hidden="false" ht="12.1" outlineLevel="0" r="123">
      <c r="A123" s="5" t="s">
        <f>=HYPERLINK("https://www.leilaoonline.net/lote/detalhe/108761", "11196")</f>
      </c>
      <c r="B123" s="4" t="s">
        <f>=HYPERLINK("https://www.leilaoonline.net/lote/detalhe/108761", " SEMI-REBOQUE USICAMP 12,50M CANA INTEIRA, ANO 2008, FR96290, LOC. BONFIM ")</f>
      </c>
      <c r="C123" s="4" t="inlineStr">
        <is>
          <t>Vendido</t>
        </is>
      </c>
      <c r="D123" s="4" t="inlineStr">
        <is>
          <t>1</t>
        </is>
      </c>
      <c r="E123" s="5" t="inlineStr">
        <is>
          <t>25.000,00</t>
        </is>
      </c>
      <c r="F123" s="4" t="inlineStr">
        <is>
          <t>1000.00</t>
        </is>
      </c>
    </row>
    <row collapsed="false" customFormat="false" customHeight="false" hidden="false" ht="12.1" outlineLevel="0" r="124">
      <c r="A124" s="5" t="s">
        <f>=HYPERLINK("https://www.leilaoonline.net/lote/detalhe/108759", "11197")</f>
      </c>
      <c r="B124" s="4" t="s">
        <f>=HYPERLINK("https://www.leilaoonline.net/lote/detalhe/108759", " SEMI-REBOQUE CANA PICADA 12,50M   USICAMP, ANO 2008, FR96704, LOC. BONFIM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25.000,00</t>
        </is>
      </c>
      <c r="F124" s="4" t="inlineStr">
        <is>
          <t>1000.00</t>
        </is>
      </c>
    </row>
    <row collapsed="false" customFormat="false" customHeight="false" hidden="false" ht="12.1" outlineLevel="0" r="125">
      <c r="A125" s="5" t="s">
        <f>=HYPERLINK("https://www.leilaoonline.net/lote/detalhe/108758", "11199")</f>
      </c>
      <c r="B125" s="4" t="s">
        <f>=HYPERLINK("https://www.leilaoonline.net/lote/detalhe/108758", " SEMI-REBOQUE USICAMP 1CX 90M, ANO 2009, FR164012, LOC. BONFIM ")</f>
      </c>
      <c r="C125" s="4" t="inlineStr">
        <is>
          <t>Vendido</t>
        </is>
      </c>
      <c r="D125" s="4" t="inlineStr">
        <is>
          <t>1</t>
        </is>
      </c>
      <c r="E125" s="5" t="inlineStr">
        <is>
          <t>25.000,00</t>
        </is>
      </c>
      <c r="F125" s="4" t="inlineStr">
        <is>
          <t>1000.00</t>
        </is>
      </c>
    </row>
    <row collapsed="false" customFormat="false" customHeight="false" hidden="false" ht="12.1" outlineLevel="0" r="126">
      <c r="A126" s="5" t="s">
        <f>=HYPERLINK("https://www.leilaoonline.net/lote/detalhe/108760", "11204")</f>
      </c>
      <c r="B126" s="4" t="s">
        <f>=HYPERLINK("https://www.leilaoonline.net/lote/detalhe/108760", " SEMI-REBOQUE USICAMP 12,50M CANA INTEIRA, ANO 2008, FR121442, LOC. BONFIM ")</f>
      </c>
      <c r="C126" s="4" t="inlineStr">
        <is>
          <t>Vendido</t>
        </is>
      </c>
      <c r="D126" s="4" t="inlineStr">
        <is>
          <t>1</t>
        </is>
      </c>
      <c r="E126" s="5" t="inlineStr">
        <is>
          <t>25.000,00</t>
        </is>
      </c>
      <c r="F126" s="4" t="inlineStr">
        <is>
          <t>1000.00</t>
        </is>
      </c>
    </row>
    <row collapsed="false" customFormat="false" customHeight="false" hidden="false" ht="12.1" outlineLevel="0" r="127">
      <c r="A127" s="5" t="s">
        <f>=HYPERLINK("https://www.leilaoonline.net/lote/detalhe/108762", "11208")</f>
      </c>
      <c r="B127" s="4" t="s">
        <f>=HYPERLINK("https://www.leilaoonline.net/lote/detalhe/108762", " SEMI REBOQUE RANDON, ANO 2007, FR121412, LOC. BONFIM ")</f>
      </c>
      <c r="C127" s="4" t="inlineStr">
        <is>
          <t>Vendido</t>
        </is>
      </c>
      <c r="D127" s="4" t="inlineStr">
        <is>
          <t>4</t>
        </is>
      </c>
      <c r="E127" s="5" t="inlineStr">
        <is>
          <t>28.000,00</t>
        </is>
      </c>
      <c r="F127" s="4" t="inlineStr">
        <is>
          <t>1000.00</t>
        </is>
      </c>
    </row>
    <row collapsed="false" customFormat="false" customHeight="false" hidden="false" ht="12.1" outlineLevel="0" r="128">
      <c r="A128" s="5" t="s">
        <f>=HYPERLINK("https://www.leilaoonline.net/lote/detalhe/108763", "11223")</f>
      </c>
      <c r="B128" s="4" t="s">
        <f>=HYPERLINK("https://www.leilaoonline.net/lote/detalhe/108763", " TRATOR JOHN DEERE 7715 4X4, ANO 2010, FR115555, LOC. BONFIM ")</f>
      </c>
      <c r="C128" s="4" t="inlineStr">
        <is>
          <t>Vendido</t>
        </is>
      </c>
      <c r="D128" s="4" t="inlineStr">
        <is>
          <t>47</t>
        </is>
      </c>
      <c r="E128" s="5" t="inlineStr">
        <is>
          <t>81.000,00</t>
        </is>
      </c>
      <c r="F128" s="4" t="inlineStr">
        <is>
          <t>1000.00</t>
        </is>
      </c>
    </row>
    <row collapsed="false" customFormat="false" customHeight="false" hidden="false" ht="12.1" outlineLevel="0" r="129">
      <c r="A129" s="5" t="s">
        <f>=HYPERLINK("https://www.leilaoonline.net/lote/detalhe/108381", "11233")</f>
      </c>
      <c r="B129" s="4" t="s">
        <f>=HYPERLINK("https://www.leilaoonline.net/lote/detalhe/108381", " SEMI-REBOQUE CANAV 1CX 90M³,ANO 2012/2012, FR164194,LOC. BONFIM ")</f>
      </c>
      <c r="C129" s="4" t="inlineStr">
        <is>
          <t>Vendido</t>
        </is>
      </c>
      <c r="D129" s="4" t="inlineStr">
        <is>
          <t>1</t>
        </is>
      </c>
      <c r="E129" s="5" t="inlineStr">
        <is>
          <t>25.000,00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=HYPERLINK("https://www.leilaoonline.net/lote/detalhe/108366", "11234")</f>
      </c>
      <c r="B130" s="4" t="s">
        <f>=HYPERLINK("https://www.leilaoonline.net/lote/detalhe/108366", " SEMI-REBOQUE CANAV 1CX 90M³, ANO 2008/2008,  FR96291, LOC.BONFIM ")</f>
      </c>
      <c r="C130" s="4" t="inlineStr">
        <is>
          <t>Vendido</t>
        </is>
      </c>
      <c r="D130" s="4" t="inlineStr">
        <is>
          <t>2</t>
        </is>
      </c>
      <c r="E130" s="5" t="inlineStr">
        <is>
          <t>26.000,00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=HYPERLINK("https://www.leilaoonline.net/lote/detalhe/108382", "11235")</f>
      </c>
      <c r="B131" s="4" t="s">
        <f>=HYPERLINK("https://www.leilaoonline.net/lote/detalhe/108382", " SEMI-REBOQUE CANAV 1CX 90M³,ANO 2012/2012,  FR164410, LOC. BONFIM ")</f>
      </c>
      <c r="C131" s="4" t="inlineStr">
        <is>
          <t>Vendido</t>
        </is>
      </c>
      <c r="D131" s="4" t="inlineStr">
        <is>
          <t>10</t>
        </is>
      </c>
      <c r="E131" s="5" t="inlineStr">
        <is>
          <t>34.000,00</t>
        </is>
      </c>
      <c r="F131" s="4" t="inlineStr">
        <is>
          <t>1000.00</t>
        </is>
      </c>
    </row>
    <row collapsed="false" customFormat="false" customHeight="false" hidden="false" ht="12.1" outlineLevel="0" r="132">
      <c r="A132" s="5" t="s">
        <f>=HYPERLINK("https://www.leilaoonline.net/lote/detalhe/108375", "11236")</f>
      </c>
      <c r="B132" s="4" t="s">
        <f>=HYPERLINK("https://www.leilaoonline.net/lote/detalhe/108375", " SEMI-REBOQUE USICAMP 12,50 M CANA PICADA,ANO 2008/2008, FR121448, LOC.BONFIM ")</f>
      </c>
      <c r="C132" s="4" t="inlineStr">
        <is>
          <t>Vendido</t>
        </is>
      </c>
      <c r="D132" s="4" t="inlineStr">
        <is>
          <t>1</t>
        </is>
      </c>
      <c r="E132" s="5" t="inlineStr">
        <is>
          <t>25.000,00</t>
        </is>
      </c>
      <c r="F132" s="4" t="inlineStr">
        <is>
          <t>1000.00</t>
        </is>
      </c>
    </row>
    <row collapsed="false" customFormat="false" customHeight="false" hidden="false" ht="12.1" outlineLevel="0" r="133">
      <c r="A133" s="5" t="s">
        <f>=HYPERLINK("https://www.leilaoonline.net/lote/detalhe/108374", "11237")</f>
      </c>
      <c r="B133" s="4" t="s">
        <f>=HYPERLINK("https://www.leilaoonline.net/lote/detalhe/108374", "SR USICAMP, ANO 2008/2008, FR96283, LOC. BONFIM ")</f>
      </c>
      <c r="C133" s="4" t="inlineStr">
        <is>
          <t>Vendido</t>
        </is>
      </c>
      <c r="D133" s="4" t="inlineStr">
        <is>
          <t>1</t>
        </is>
      </c>
      <c r="E133" s="5" t="inlineStr">
        <is>
          <t>25.000,00</t>
        </is>
      </c>
      <c r="F133" s="4" t="inlineStr">
        <is>
          <t>1000.00</t>
        </is>
      </c>
    </row>
    <row collapsed="false" customFormat="false" customHeight="false" hidden="false" ht="12.1" outlineLevel="0" r="134">
      <c r="A134" s="5" t="s">
        <f>=HYPERLINK("https://www.leilaoonline.net/lote/detalhe/108379", "11238")</f>
      </c>
      <c r="B134" s="4" t="s">
        <f>=HYPERLINK("https://www.leilaoonline.net/lote/detalhe/108379", " SEMI-REBOQUE CANA PICADA 12,50M  USICAMP,ANO 2008/2008, FR96272, LOC. BONFIM ")</f>
      </c>
      <c r="C134" s="4" t="inlineStr">
        <is>
          <t>Vendido</t>
        </is>
      </c>
      <c r="D134" s="4" t="inlineStr">
        <is>
          <t>1</t>
        </is>
      </c>
      <c r="E134" s="5" t="inlineStr">
        <is>
          <t>25.000,00</t>
        </is>
      </c>
      <c r="F134" s="4" t="inlineStr">
        <is>
          <t>1000.00</t>
        </is>
      </c>
    </row>
    <row collapsed="false" customFormat="false" customHeight="false" hidden="false" ht="12.1" outlineLevel="0" r="135">
      <c r="A135" s="5" t="s">
        <f>=HYPERLINK("https://www.leilaoonline.net/lote/detalhe/108389", "11239")</f>
      </c>
      <c r="B135" s="4" t="s">
        <f>=HYPERLINK("https://www.leilaoonline.net/lote/detalhe/108389", " REBOQUE RANDON, ANO 2010/2011, FR121485, LOC. BONFIM ")</f>
      </c>
      <c r="C135" s="4" t="inlineStr">
        <is>
          <t>Não vendido</t>
        </is>
      </c>
      <c r="D135" s="4" t="inlineStr">
        <is>
          <t>2</t>
        </is>
      </c>
      <c r="E135" s="5" t="inlineStr">
        <is>
          <t>26.000,00</t>
        </is>
      </c>
      <c r="F135" s="4" t="inlineStr">
        <is>
          <t>1000.00</t>
        </is>
      </c>
    </row>
    <row collapsed="false" customFormat="false" customHeight="false" hidden="false" ht="12.1" outlineLevel="0" r="136">
      <c r="A136" s="5" t="s">
        <f>=HYPERLINK("https://www.leilaoonline.net/lote/detalhe/108386", "11240")</f>
      </c>
      <c r="B136" s="4" t="s">
        <f>=HYPERLINK("https://www.leilaoonline.net/lote/detalhe/108386", " SEMI-REBOQUE USICAMP 12,50M, ANO 2008/2008, FR121454, LOC.BONFIM ")</f>
      </c>
      <c r="C136" s="4" t="inlineStr">
        <is>
          <t>Vendido</t>
        </is>
      </c>
      <c r="D136" s="4" t="inlineStr">
        <is>
          <t>1</t>
        </is>
      </c>
      <c r="E136" s="5" t="inlineStr">
        <is>
          <t>25.000,00</t>
        </is>
      </c>
      <c r="F136" s="4" t="inlineStr">
        <is>
          <t>1000.00</t>
        </is>
      </c>
    </row>
    <row collapsed="false" customFormat="false" customHeight="false" hidden="false" ht="12.1" outlineLevel="0" r="137">
      <c r="A137" s="5" t="s">
        <f>=HYPERLINK("https://www.leilaoonline.net/lote/detalhe/108367", "11241")</f>
      </c>
      <c r="B137" s="4" t="s">
        <f>=HYPERLINK("https://www.leilaoonline.net/lote/detalhe/108367", " REBOQUE RANDON, ANO 2012/2012, FR121512, LOC. BONFIM ")</f>
      </c>
      <c r="C137" s="4" t="inlineStr">
        <is>
          <t>Vendido</t>
        </is>
      </c>
      <c r="D137" s="4" t="inlineStr">
        <is>
          <t>13</t>
        </is>
      </c>
      <c r="E137" s="5" t="inlineStr">
        <is>
          <t>38.000,00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=HYPERLINK("https://www.leilaoonline.net/lote/detalhe/108387", "11242")</f>
      </c>
      <c r="B138" s="4" t="s">
        <f>=HYPERLINK("https://www.leilaoonline.net/lote/detalhe/108387", " CAMINHAO MERCEDES BENZ AXOR 3344,ANO 2014/2014, FR119947, LOC. BONFIM ")</f>
      </c>
      <c r="C138" s="4" t="inlineStr">
        <is>
          <t>Vendido</t>
        </is>
      </c>
      <c r="D138" s="4" t="inlineStr">
        <is>
          <t>61</t>
        </is>
      </c>
      <c r="E138" s="5" t="inlineStr">
        <is>
          <t>176.000,00</t>
        </is>
      </c>
      <c r="F138" s="4" t="inlineStr">
        <is>
          <t>1000.00</t>
        </is>
      </c>
    </row>
    <row collapsed="false" customFormat="false" customHeight="false" hidden="false" ht="12.1" outlineLevel="0" r="139">
      <c r="A139" s="5" t="s">
        <f>=HYPERLINK("https://www.leilaoonline.net/lote/detalhe/108377", "11243")</f>
      </c>
      <c r="B139" s="4" t="s">
        <f>=HYPERLINK("https://www.leilaoonline.net/lote/detalhe/108377", " ONIBUS MERCEDES BENZ OF1318,ANO 1992/1992, FR119001, LOC. BONFIM ")</f>
      </c>
      <c r="C139" s="4" t="inlineStr">
        <is>
          <t>Vendido</t>
        </is>
      </c>
      <c r="D139" s="4" t="inlineStr">
        <is>
          <t>20</t>
        </is>
      </c>
      <c r="E139" s="5" t="inlineStr">
        <is>
          <t>22.500,00</t>
        </is>
      </c>
      <c r="F139" s="4" t="inlineStr">
        <is>
          <t>500.00</t>
        </is>
      </c>
    </row>
    <row collapsed="false" customFormat="false" customHeight="false" hidden="false" ht="12.1" outlineLevel="0" r="140">
      <c r="A140" s="5" t="s">
        <f>=HYPERLINK("https://www.leilaoonline.net/lote/detalhe/108372", "11244")</f>
      </c>
      <c r="B140" s="4" t="s">
        <f>=HYPERLINK("https://www.leilaoonline.net/lote/detalhe/108372", " ONIBUS MERCEDES BENZ OF1315, ANO 1993/1993,  FR119007, LOC. BONFIM ")</f>
      </c>
      <c r="C140" s="4" t="inlineStr">
        <is>
          <t>Vendido</t>
        </is>
      </c>
      <c r="D140" s="4" t="inlineStr">
        <is>
          <t>15</t>
        </is>
      </c>
      <c r="E140" s="5" t="inlineStr">
        <is>
          <t>19.500,00</t>
        </is>
      </c>
      <c r="F140" s="4" t="inlineStr">
        <is>
          <t>500.00</t>
        </is>
      </c>
    </row>
    <row collapsed="false" customFormat="false" customHeight="false" hidden="false" ht="12.1" outlineLevel="0" r="141">
      <c r="A141" s="5" t="s">
        <f>=HYPERLINK("https://www.leilaoonline.net/lote/detalhe/108373", "11245")</f>
      </c>
      <c r="B141" s="4" t="s">
        <f>=HYPERLINK("https://www.leilaoonline.net/lote/detalhe/108373", " TRANSBORDO SANTAL 12 T, ANO 2013,  FR123812, LOC. BONFIM ")</f>
      </c>
      <c r="C141" s="4" t="inlineStr">
        <is>
          <t>Vendido</t>
        </is>
      </c>
      <c r="D141" s="4" t="inlineStr">
        <is>
          <t>3</t>
        </is>
      </c>
      <c r="E141" s="5" t="inlineStr">
        <is>
          <t>5.500,00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=HYPERLINK("https://www.leilaoonline.net/lote/detalhe/108370", "11246")</f>
      </c>
      <c r="B142" s="4" t="s">
        <f>=HYPERLINK("https://www.leilaoonline.net/lote/detalhe/108370", " CARRETA ABRIGO OPERAD.RSA, ANO 2010, FR121615, LOC. BONFIM ")</f>
      </c>
      <c r="C142" s="4" t="inlineStr">
        <is>
          <t>Vendido</t>
        </is>
      </c>
      <c r="D142" s="4" t="inlineStr">
        <is>
          <t>15</t>
        </is>
      </c>
      <c r="E142" s="5" t="inlineStr">
        <is>
          <t>6.500,00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=HYPERLINK("https://www.leilaoonline.net/lote/detalhe/108388", "11247")</f>
      </c>
      <c r="B143" s="4" t="s">
        <f>=HYPERLINK("https://www.leilaoonline.net/lote/detalhe/108388", " TRATOR JOHN DEERE 7715 4X4,ANO 2010, FR115552, LOC. BONFIM ")</f>
      </c>
      <c r="C143" s="4" t="inlineStr">
        <is>
          <t>Vendido</t>
        </is>
      </c>
      <c r="D143" s="4" t="inlineStr">
        <is>
          <t>53</t>
        </is>
      </c>
      <c r="E143" s="5" t="inlineStr">
        <is>
          <t>82.000,00</t>
        </is>
      </c>
      <c r="F143" s="4" t="inlineStr">
        <is>
          <t>1000.00</t>
        </is>
      </c>
    </row>
    <row collapsed="false" customFormat="false" customHeight="false" hidden="false" ht="12.1" outlineLevel="0" r="144">
      <c r="A144" s="5" t="s">
        <f>=HYPERLINK("https://www.leilaoonline.net/lote/detalhe/108384", "11248")</f>
      </c>
      <c r="B144" s="4" t="s">
        <f>=HYPERLINK("https://www.leilaoonline.net/lote/detalhe/108384", " CARRETA ABRIGO OPERAD.RSA, ANO 2010, FR121617, LOC. BONFIM ")</f>
      </c>
      <c r="C144" s="4" t="inlineStr">
        <is>
          <t>Vendido</t>
        </is>
      </c>
      <c r="D144" s="4" t="inlineStr">
        <is>
          <t>16</t>
        </is>
      </c>
      <c r="E144" s="5" t="inlineStr">
        <is>
          <t>5.250,00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=HYPERLINK("https://www.leilaoonline.net/lote/detalhe/108376", "11254")</f>
      </c>
      <c r="B145" s="4" t="s">
        <f>=HYPERLINK("https://www.leilaoonline.net/lote/detalhe/108376", " M.BENZ AXOR 3344 6X4 CAV, ANO 2014, FR119975, LOC. BONFIM ")</f>
      </c>
      <c r="C145" s="4" t="inlineStr">
        <is>
          <t>Vendido</t>
        </is>
      </c>
      <c r="D145" s="4" t="inlineStr">
        <is>
          <t>22</t>
        </is>
      </c>
      <c r="E145" s="5" t="inlineStr">
        <is>
          <t>56.000,00</t>
        </is>
      </c>
      <c r="F145" s="4" t="inlineStr">
        <is>
          <t>1000.00</t>
        </is>
      </c>
    </row>
    <row collapsed="false" customFormat="false" customHeight="false" hidden="false" ht="12.1" outlineLevel="0" r="146">
      <c r="A146" s="5" t="s">
        <f>=HYPERLINK("https://www.leilaoonline.net/lote/detalhe/108378", "11255")</f>
      </c>
      <c r="B146" s="4" t="s">
        <f>=HYPERLINK("https://www.leilaoonline.net/lote/detalhe/108378", " DOLLY USICAMP,ANO 2008, FR121933, LOC. BONFIM ")</f>
      </c>
      <c r="C146" s="4" t="inlineStr">
        <is>
          <t>Vendido</t>
        </is>
      </c>
      <c r="D146" s="4" t="inlineStr">
        <is>
          <t>10</t>
        </is>
      </c>
      <c r="E146" s="5" t="inlineStr">
        <is>
          <t>9.000,00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=HYPERLINK("https://www.leilaoonline.net/lote/detalhe/108385", "11258")</f>
      </c>
      <c r="B147" s="4" t="s">
        <f>=HYPERLINK("https://www.leilaoonline.net/lote/detalhe/108385", " REBOQUE CANA PICADAPLACA EAA9438,ANO 2010/2010, FR93633, LOC. ZANIN")</f>
      </c>
      <c r="C147" s="4" t="inlineStr">
        <is>
          <t>Não vendido</t>
        </is>
      </c>
      <c r="D147" s="4" t="inlineStr">
        <is>
          <t>1</t>
        </is>
      </c>
      <c r="E147" s="5" t="inlineStr">
        <is>
          <t>25.000,00</t>
        </is>
      </c>
      <c r="F147" s="4" t="inlineStr">
        <is>
          <t>1000.00</t>
        </is>
      </c>
    </row>
    <row collapsed="false" customFormat="false" customHeight="false" hidden="false" ht="12.1" outlineLevel="0" r="148">
      <c r="A148" s="5" t="s">
        <f>=HYPERLINK("https://www.leilaoonline.net/lote/detalhe/108390", "11259")</f>
      </c>
      <c r="B148" s="4" t="s">
        <f>=HYPERLINK("https://www.leilaoonline.net/lote/detalhe/108390", " REBOQUE CANA PICADA, ANO 2010,  FR93634, LOC. ZANIN ")</f>
      </c>
      <c r="C148" s="4" t="inlineStr">
        <is>
          <t>Não vendido</t>
        </is>
      </c>
      <c r="D148" s="4" t="inlineStr">
        <is>
          <t>3</t>
        </is>
      </c>
      <c r="E148" s="5" t="inlineStr">
        <is>
          <t>32.000,00</t>
        </is>
      </c>
      <c r="F148" s="4" t="inlineStr">
        <is>
          <t>1000.00</t>
        </is>
      </c>
    </row>
    <row collapsed="false" customFormat="false" customHeight="false" hidden="false" ht="12.1" outlineLevel="0" r="149">
      <c r="A149" s="5" t="s">
        <f>=HYPERLINK("https://www.leilaoonline.net/lote/detalhe/108392", "11260")</f>
      </c>
      <c r="B149" s="4" t="s">
        <f>=HYPERLINK("https://www.leilaoonline.net/lote/detalhe/108392", " S.REBOQUE SERGOMEL 12,50M, ANO 2014/2014, FR361737, LOC. ZANIN")</f>
      </c>
      <c r="C149" s="4" t="inlineStr">
        <is>
          <t>Vendido</t>
        </is>
      </c>
      <c r="D149" s="4" t="inlineStr">
        <is>
          <t>1</t>
        </is>
      </c>
      <c r="E149" s="5" t="inlineStr">
        <is>
          <t>25.000,00</t>
        </is>
      </c>
      <c r="F149" s="4" t="inlineStr">
        <is>
          <t>1000.00</t>
        </is>
      </c>
    </row>
    <row collapsed="false" customFormat="false" customHeight="false" hidden="false" ht="12.1" outlineLevel="0" r="150">
      <c r="A150" s="5" t="s">
        <f>=HYPERLINK("https://www.leilaoonline.net/lote/detalhe/108393", "11261")</f>
      </c>
      <c r="B150" s="4" t="s">
        <f>=HYPERLINK("https://www.leilaoonline.net/lote/detalhe/108393", " REBOQUE 4E SERGOMEL 12,5M, ANO 2014/2014, FR361739, LOC. ZANIN ")</f>
      </c>
      <c r="C150" s="4" t="inlineStr">
        <is>
          <t>Vendido</t>
        </is>
      </c>
      <c r="D150" s="4" t="inlineStr">
        <is>
          <t>1</t>
        </is>
      </c>
      <c r="E150" s="5" t="inlineStr">
        <is>
          <t>25.000,00</t>
        </is>
      </c>
      <c r="F150" s="4" t="inlineStr">
        <is>
          <t>1000.00</t>
        </is>
      </c>
    </row>
    <row collapsed="false" customFormat="false" customHeight="false" hidden="false" ht="12.1" outlineLevel="0" r="151">
      <c r="A151" s="5" t="s">
        <f>=HYPERLINK("https://www.leilaoonline.net/lote/detalhe/108394", "11262")</f>
      </c>
      <c r="B151" s="4" t="s">
        <f>=HYPERLINK("https://www.leilaoonline.net/lote/detalhe/108394", " DIST. T. FILTRO HARD KTDH, ANO 2015,  FR17279, LOC. SERRA ")</f>
      </c>
      <c r="C151" s="4" t="inlineStr">
        <is>
          <t>Vendido</t>
        </is>
      </c>
      <c r="D151" s="4" t="inlineStr">
        <is>
          <t>1</t>
        </is>
      </c>
      <c r="E151" s="5" t="inlineStr">
        <is>
          <t>3.500,00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=HYPERLINK("https://www.leilaoonline.net/lote/detalhe/108391", "11263")</f>
      </c>
      <c r="B152" s="4" t="s">
        <f>=HYPERLINK("https://www.leilaoonline.net/lote/detalhe/108391", " TRATOR JOHN DEERE 7225 J, ANO 2010, ( SUCATEADO ) FR360678, LOC. SERRA ")</f>
      </c>
      <c r="C152" s="4" t="inlineStr">
        <is>
          <t>Vendido</t>
        </is>
      </c>
      <c r="D152" s="4" t="inlineStr">
        <is>
          <t>100</t>
        </is>
      </c>
      <c r="E152" s="5" t="inlineStr">
        <is>
          <t>46.000,00</t>
        </is>
      </c>
      <c r="F152" s="4" t="inlineStr">
        <is>
          <t>500.00</t>
        </is>
      </c>
    </row>
    <row collapsed="false" customFormat="false" customHeight="false" hidden="false" ht="12.1" outlineLevel="0" r="153">
      <c r="A153" s="5" t="s">
        <f>=HYPERLINK("https://www.leilaoonline.net/lote/detalhe/106773", "16338")</f>
      </c>
      <c r="B153" s="4" t="s">
        <f>=HYPERLINK("https://www.leilaoonline.net/lote/detalhe/106773", " TRATOR VALTRA BT 190 4X4,  ANO 2014,  FR88487, LOC. GASA ")</f>
      </c>
      <c r="C153" s="4" t="inlineStr">
        <is>
          <t>Não vendido</t>
        </is>
      </c>
      <c r="D153" s="4" t="inlineStr">
        <is>
          <t>65</t>
        </is>
      </c>
      <c r="E153" s="5" t="inlineStr">
        <is>
          <t>131.500,00</t>
        </is>
      </c>
      <c r="F153" s="4" t="inlineStr">
        <is>
          <t>1500.00</t>
        </is>
      </c>
    </row>
    <row collapsed="false" customFormat="false" customHeight="false" hidden="false" ht="12.1" outlineLevel="0" r="154">
      <c r="A154" s="5" t="s">
        <f>=HYPERLINK("https://www.leilaoonline.net/lote/detalhe/106774", "16339")</f>
      </c>
      <c r="B154" s="4" t="s">
        <f>=HYPERLINK("https://www.leilaoonline.net/lote/detalhe/106774", " PLANTADORA DMB,  SEMI-AUTOMATIC,  ANO 2006,  FR84701, LOC. GASA")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7.000,00</t>
        </is>
      </c>
      <c r="F154" s="4" t="inlineStr">
        <is>
          <t>1000.00</t>
        </is>
      </c>
    </row>
    <row collapsed="false" customFormat="false" customHeight="false" hidden="false" ht="12.1" outlineLevel="0" r="155">
      <c r="A155" s="5" t="s">
        <f>=HYPERLINK("https://www.leilaoonline.net/lote/detalhe/106778", "16340")</f>
      </c>
      <c r="B155" s="4" t="s">
        <f>=HYPERLINK("https://www.leilaoonline.net/lote/detalhe/106778", " DOLLY GUERRA, ANO 2009,  FR88561, LOC. GASA ")</f>
      </c>
      <c r="C155" s="4" t="inlineStr">
        <is>
          <t>Vendido</t>
        </is>
      </c>
      <c r="D155" s="4" t="inlineStr">
        <is>
          <t>5</t>
        </is>
      </c>
      <c r="E155" s="5" t="inlineStr">
        <is>
          <t>5.000,00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=HYPERLINK("https://www.leilaoonline.net/lote/detalhe/106777", "16341")</f>
      </c>
      <c r="B156" s="4" t="s">
        <f>=HYPERLINK("https://www.leilaoonline.net/lote/detalhe/106777", " TRANSBORDO SANTAL 8 T, ANO 2000,  FR10102, LOC. GASA")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5.000,00</t>
        </is>
      </c>
      <c r="F156" s="4" t="inlineStr">
        <is>
          <t>500.00</t>
        </is>
      </c>
    </row>
    <row collapsed="false" customFormat="false" customHeight="false" hidden="false" ht="12.1" outlineLevel="0" r="157">
      <c r="A157" s="5" t="s">
        <f>=HYPERLINK("https://www.leilaoonline.net/lote/detalhe/106775", "16342")</f>
      </c>
      <c r="B157" s="4" t="s">
        <f>=HYPERLINK("https://www.leilaoonline.net/lote/detalhe/106775", " CARRETA TRANSBORDO 30M3 2.80M 600/55-26.5, ANO 2019, FR88129. LOC. GASA ")</f>
      </c>
      <c r="C157" s="4" t="inlineStr">
        <is>
          <t>Vendido</t>
        </is>
      </c>
      <c r="D157" s="4" t="inlineStr">
        <is>
          <t>1</t>
        </is>
      </c>
      <c r="E157" s="5" t="inlineStr">
        <is>
          <t>5.000,00</t>
        </is>
      </c>
      <c r="F157" s="4" t="inlineStr">
        <is>
          <t>500.00</t>
        </is>
      </c>
    </row>
    <row collapsed="false" customFormat="false" customHeight="false" hidden="false" ht="12.1" outlineLevel="0" r="158">
      <c r="A158" s="5" t="s">
        <f>=HYPERLINK("https://www.leilaoonline.net/lote/detalhe/106780", "16344")</f>
      </c>
      <c r="B158" s="4" t="s">
        <f>=HYPERLINK("https://www.leilaoonline.net/lote/detalhe/106780", " SUBSOLADOR CIVEMASA, ANO 2013,  FR361032, LOC. GASA ")</f>
      </c>
      <c r="C158" s="4" t="inlineStr">
        <is>
          <t>Vendido</t>
        </is>
      </c>
      <c r="D158" s="4" t="inlineStr">
        <is>
          <t>12</t>
        </is>
      </c>
      <c r="E158" s="5" t="inlineStr">
        <is>
          <t>6.000,00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=HYPERLINK("https://www.leilaoonline.net/lote/detalhe/106783", "16345")</f>
      </c>
      <c r="B159" s="4" t="s">
        <f>=HYPERLINK("https://www.leilaoonline.net/lote/detalhe/106783", " ONIBUS M. BENZ/ OF1318, ANO 1990/1991, FR88141, LOC. GASA ")</f>
      </c>
      <c r="C159" s="4" t="inlineStr">
        <is>
          <t>Vendido</t>
        </is>
      </c>
      <c r="D159" s="4" t="inlineStr">
        <is>
          <t>5</t>
        </is>
      </c>
      <c r="E159" s="5" t="inlineStr">
        <is>
          <t>13.500,00</t>
        </is>
      </c>
      <c r="F159" s="4" t="inlineStr">
        <is>
          <t>500.00</t>
        </is>
      </c>
    </row>
    <row collapsed="false" customFormat="false" customHeight="false" hidden="false" ht="12.1" outlineLevel="0" r="160">
      <c r="A160" s="5" t="s">
        <f>=HYPERLINK("https://www.leilaoonline.net/lote/detalhe/106785", "16346")</f>
      </c>
      <c r="B160" s="4" t="s">
        <f>=HYPERLINK("https://www.leilaoonline.net/lote/detalhe/106785", " ONIBUS M. BENZ/ OF1318, ANO 1991/1992, FR88140, LOC. GASA ")</f>
      </c>
      <c r="C160" s="4" t="inlineStr">
        <is>
          <t>Vendido</t>
        </is>
      </c>
      <c r="D160" s="4" t="inlineStr">
        <is>
          <t>10</t>
        </is>
      </c>
      <c r="E160" s="5" t="inlineStr">
        <is>
          <t>14.500,00</t>
        </is>
      </c>
      <c r="F160" s="4" t="inlineStr">
        <is>
          <t>500.00</t>
        </is>
      </c>
    </row>
    <row collapsed="false" customFormat="false" customHeight="false" hidden="false" ht="12.1" outlineLevel="0" r="161">
      <c r="A161" s="5" t="s">
        <f>=HYPERLINK("https://www.leilaoonline.net/lote/detalhe/106781", "16347")</f>
      </c>
      <c r="B161" s="4" t="s">
        <f>=HYPERLINK("https://www.leilaoonline.net/lote/detalhe/106781", " TRATOR VALTRA BH 210, ANO 2015,  FR188940, LOC. GASA ")</f>
      </c>
      <c r="C161" s="4" t="inlineStr">
        <is>
          <t>Vendido</t>
        </is>
      </c>
      <c r="D161" s="4" t="inlineStr">
        <is>
          <t>130</t>
        </is>
      </c>
      <c r="E161" s="5" t="inlineStr">
        <is>
          <t>219.000,00</t>
        </is>
      </c>
      <c r="F161" s="4" t="inlineStr">
        <is>
          <t>1500.00</t>
        </is>
      </c>
    </row>
    <row collapsed="false" customFormat="false" customHeight="false" hidden="false" ht="12.1" outlineLevel="0" r="162">
      <c r="A162" s="5" t="s">
        <f>=HYPERLINK("https://www.leilaoonline.net/lote/detalhe/106784", "16348")</f>
      </c>
      <c r="B162" s="4" t="s">
        <f>=HYPERLINK("https://www.leilaoonline.net/lote/detalhe/106784", " CARRETA SERVIÇOS DIVERSOS, ANO 2000/2000, FR86985, LOC. GASA ")</f>
      </c>
      <c r="C162" s="4" t="inlineStr">
        <is>
          <t>Não vendido</t>
        </is>
      </c>
      <c r="D162" s="4" t="inlineStr">
        <is>
          <t>2</t>
        </is>
      </c>
      <c r="E162" s="5" t="inlineStr">
        <is>
          <t>1.250,00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=HYPERLINK("https://www.leilaoonline.net/lote/detalhe/106779", "16349")</f>
      </c>
      <c r="B163" s="4" t="s">
        <f>=HYPERLINK("https://www.leilaoonline.net/lote/detalhe/106779", " 1 MAQ. KARCHER, 1 ROLO BORRACHA BRANCA, 1 CARRINHO C/ MOTOR , SF , LOC. GASA ")</f>
      </c>
      <c r="C163" s="4" t="inlineStr">
        <is>
          <t>Vendido</t>
        </is>
      </c>
      <c r="D163" s="4" t="inlineStr">
        <is>
          <t>2</t>
        </is>
      </c>
      <c r="E163" s="5" t="inlineStr">
        <is>
          <t>2.250,00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=HYPERLINK("https://www.leilaoonline.net/lote/detalhe/106782", "16350")</f>
      </c>
      <c r="B164" s="4" t="s">
        <f>=HYPERLINK("https://www.leilaoonline.net/lote/detalhe/106782", " VALVULAS DIVERSAS (2 GRANDES, 5 MÉDIAS, E 1 VALVULA E PARTES, SF. LOC. GASA ")</f>
      </c>
      <c r="C164" s="4" t="inlineStr">
        <is>
          <t>Não vendido</t>
        </is>
      </c>
      <c r="D164" s="4" t="inlineStr">
        <is>
          <t>25</t>
        </is>
      </c>
      <c r="E164" s="5" t="inlineStr">
        <is>
          <t>9.750,00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=HYPERLINK("https://www.leilaoonline.net/lote/detalhe/106772", "16351")</f>
      </c>
      <c r="B165" s="4" t="s">
        <f>=HYPERLINK("https://www.leilaoonline.net/lote/detalhe/106772", " TRATOR CASE MAXXUM 180 4X4, ANO 2010,  FR81583, LOC.UNIVALEM ")</f>
      </c>
      <c r="C165" s="4" t="inlineStr">
        <is>
          <t>Vendido</t>
        </is>
      </c>
      <c r="D165" s="4" t="inlineStr">
        <is>
          <t>72</t>
        </is>
      </c>
      <c r="E165" s="5" t="inlineStr">
        <is>
          <t>109.000,00</t>
        </is>
      </c>
      <c r="F165" s="4" t="inlineStr">
        <is>
          <t>1000.00</t>
        </is>
      </c>
    </row>
    <row collapsed="false" customFormat="false" customHeight="false" hidden="false" ht="12.1" outlineLevel="0" r="166">
      <c r="A166" s="5" t="s">
        <f>=HYPERLINK("https://www.leilaoonline.net/lote/detalhe/106762", "16352")</f>
      </c>
      <c r="B166" s="4" t="s">
        <f>=HYPERLINK("https://www.leilaoonline.net/lote/detalhe/106762", " CARROCERIA COMBOIO, ANO 2001,  FR81659, LOC. UNIVALEM")</f>
      </c>
      <c r="C166" s="4" t="inlineStr">
        <is>
          <t>Não vendido</t>
        </is>
      </c>
      <c r="D166" s="4" t="inlineStr">
        <is>
          <t>4</t>
        </is>
      </c>
      <c r="E166" s="5" t="inlineStr">
        <is>
          <t>2.750,00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=HYPERLINK("https://www.leilaoonline.net/lote/detalhe/106760", "16353")</f>
      </c>
      <c r="B167" s="4" t="s">
        <f>=HYPERLINK("https://www.leilaoonline.net/lote/detalhe/106760", " CAMINHAO VW 15-180 EURO3 WORKER, CARR.  BAU,  ANO 2010/2010, FR34098/FR37855, LOC. UNIVALEM ")</f>
      </c>
      <c r="C167" s="4" t="inlineStr">
        <is>
          <t>Não vendido</t>
        </is>
      </c>
      <c r="D167" s="4" t="inlineStr">
        <is>
          <t>35</t>
        </is>
      </c>
      <c r="E167" s="5" t="inlineStr">
        <is>
          <t>64.000,00</t>
        </is>
      </c>
      <c r="F167" s="4" t="inlineStr">
        <is>
          <t>1000.00</t>
        </is>
      </c>
    </row>
    <row collapsed="false" customFormat="false" customHeight="false" hidden="false" ht="12.1" outlineLevel="0" r="168">
      <c r="A168" s="5" t="s">
        <f>=HYPERLINK("https://www.leilaoonline.net/lote/detalhe/106751", "16354")</f>
      </c>
      <c r="B168" s="4" t="s">
        <f>=HYPERLINK("https://www.leilaoonline.net/lote/detalhe/106751", " CAMINHAO MOD 31 320 CNC 6X4, CARROCERIA TRANSBORDO, ANO 2010/2010, FR81490, LOC. UNIVALEM")</f>
      </c>
      <c r="C168" s="4" t="inlineStr">
        <is>
          <t>Não vendido</t>
        </is>
      </c>
      <c r="D168" s="4" t="inlineStr">
        <is>
          <t>59</t>
        </is>
      </c>
      <c r="E168" s="5" t="inlineStr">
        <is>
          <t>101.000,00</t>
        </is>
      </c>
      <c r="F168" s="4" t="inlineStr">
        <is>
          <t>1000.00</t>
        </is>
      </c>
    </row>
    <row collapsed="false" customFormat="false" customHeight="false" hidden="false" ht="12.1" outlineLevel="0" r="169">
      <c r="A169" s="5" t="s">
        <f>=HYPERLINK("https://www.leilaoonline.net/lote/detalhe/106758", "16355")</f>
      </c>
      <c r="B169" s="4" t="s">
        <f>=HYPERLINK("https://www.leilaoonline.net/lote/detalhe/106758", " TRANSBORDO ATA 12000 12T, ANO 2010,  FR84784, LOC. UNIVALEM ")</f>
      </c>
      <c r="C169" s="4" t="inlineStr">
        <is>
          <t>Não vendido</t>
        </is>
      </c>
      <c r="D169" s="4" t="inlineStr">
        <is>
          <t>1</t>
        </is>
      </c>
      <c r="E169" s="5" t="inlineStr">
        <is>
          <t>5.000,00</t>
        </is>
      </c>
      <c r="F169" s="4" t="inlineStr">
        <is>
          <t>500.00</t>
        </is>
      </c>
    </row>
    <row collapsed="false" customFormat="false" customHeight="false" hidden="false" ht="12.1" outlineLevel="0" r="170">
      <c r="A170" s="5" t="s">
        <f>=HYPERLINK("https://www.leilaoonline.net/lote/detalhe/106765", "16356")</f>
      </c>
      <c r="B170" s="4" t="s">
        <f>=HYPERLINK("https://www.leilaoonline.net/lote/detalhe/106765", " 02 TRANSBORDOS SERMAG 12T SUCATEADOS, ANO 2012,  FR84974/84796  -LOC. UNIVALEM ")</f>
      </c>
      <c r="C170" s="4" t="inlineStr">
        <is>
          <t>Não vendido</t>
        </is>
      </c>
      <c r="D170" s="4" t="inlineStr">
        <is>
          <t>1</t>
        </is>
      </c>
      <c r="E170" s="5" t="inlineStr">
        <is>
          <t>5.000,00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=HYPERLINK("https://www.leilaoonline.net/lote/detalhe/106764", "16357")</f>
      </c>
      <c r="B171" s="4" t="s">
        <f>=HYPERLINK("https://www.leilaoonline.net/lote/detalhe/106764", " ONIBUS M/BENZ OF 1620, ANO 1995/1995, FR81357, LOC. UNIVALEM")</f>
      </c>
      <c r="C171" s="4" t="inlineStr">
        <is>
          <t>Não vendido</t>
        </is>
      </c>
      <c r="D171" s="4" t="inlineStr">
        <is>
          <t>4</t>
        </is>
      </c>
      <c r="E171" s="5" t="inlineStr">
        <is>
          <t>12.000,00</t>
        </is>
      </c>
      <c r="F171" s="4" t="inlineStr">
        <is>
          <t>500.00</t>
        </is>
      </c>
    </row>
    <row collapsed="false" customFormat="false" customHeight="false" hidden="false" ht="12.1" outlineLevel="0" r="172">
      <c r="A172" s="5" t="s">
        <f>=HYPERLINK("https://www.leilaoonline.net/lote/detalhe/106752", "16358")</f>
      </c>
      <c r="B172" s="4" t="s">
        <f>=HYPERLINK("https://www.leilaoonline.net/lote/detalhe/106752", " REBOQUE TRANS. SANTA ISABEL SUCATEADO, ANO 2011,  FR139960, LOC. UNIVALEM ")</f>
      </c>
      <c r="C172" s="4" t="inlineStr">
        <is>
          <t>Vendido</t>
        </is>
      </c>
      <c r="D172" s="4" t="inlineStr">
        <is>
          <t>2</t>
        </is>
      </c>
      <c r="E172" s="5" t="inlineStr">
        <is>
          <t>5.500,00</t>
        </is>
      </c>
      <c r="F172" s="4" t="inlineStr">
        <is>
          <t>500.00</t>
        </is>
      </c>
    </row>
    <row collapsed="false" customFormat="false" customHeight="false" hidden="false" ht="12.1" outlineLevel="0" r="173">
      <c r="A173" s="5" t="s">
        <f>=HYPERLINK("https://www.leilaoonline.net/lote/detalhe/106771", "16359")</f>
      </c>
      <c r="B173" s="4" t="s">
        <f>=HYPERLINK("https://www.leilaoonline.net/lote/detalhe/106771", " ONIBUS MERCEDES-BENZ OF1315, ANO 1992/1992, FR81354,  LOC. UNIVALEM")</f>
      </c>
      <c r="C173" s="4" t="inlineStr">
        <is>
          <t>Não vendido</t>
        </is>
      </c>
      <c r="D173" s="4" t="inlineStr">
        <is>
          <t>1</t>
        </is>
      </c>
      <c r="E173" s="5" t="inlineStr">
        <is>
          <t>7.500,00</t>
        </is>
      </c>
      <c r="F173" s="4" t="inlineStr">
        <is>
          <t>500.00</t>
        </is>
      </c>
    </row>
    <row collapsed="false" customFormat="false" customHeight="false" hidden="false" ht="12.1" outlineLevel="0" r="174">
      <c r="A174" s="5" t="s">
        <f>=HYPERLINK("https://www.leilaoonline.net/lote/detalhe/106755", "16360")</f>
      </c>
      <c r="B174" s="4" t="s">
        <f>=HYPERLINK("https://www.leilaoonline.net/lote/detalhe/106755", " TRATOR VALTRA BH 210, ANO 2014, FR81536, LOC. UNIVALEM")</f>
      </c>
      <c r="C174" s="4" t="inlineStr">
        <is>
          <t>Vendido</t>
        </is>
      </c>
      <c r="D174" s="4" t="inlineStr">
        <is>
          <t>118</t>
        </is>
      </c>
      <c r="E174" s="5" t="inlineStr">
        <is>
          <t>137.000,00</t>
        </is>
      </c>
      <c r="F174" s="4" t="inlineStr">
        <is>
          <t>1000.00</t>
        </is>
      </c>
    </row>
    <row collapsed="false" customFormat="false" customHeight="false" hidden="false" ht="12.1" outlineLevel="0" r="175">
      <c r="A175" s="5" t="s">
        <f>=HYPERLINK("https://www.leilaoonline.net/lote/detalhe/106768", "16361")</f>
      </c>
      <c r="B175" s="4" t="s">
        <f>=HYPERLINK("https://www.leilaoonline.net/lote/detalhe/106768", " TRATOR VALTRA BH 210I 4X4, ANO 2014, FR81531,  LOC.UNIVALEM ")</f>
      </c>
      <c r="C175" s="4" t="inlineStr">
        <is>
          <t>Não vendido</t>
        </is>
      </c>
      <c r="D175" s="4" t="inlineStr">
        <is>
          <t>93</t>
        </is>
      </c>
      <c r="E175" s="5" t="inlineStr">
        <is>
          <t>117.000,00</t>
        </is>
      </c>
      <c r="F175" s="4" t="inlineStr">
        <is>
          <t>1000.00</t>
        </is>
      </c>
    </row>
    <row collapsed="false" customFormat="false" customHeight="false" hidden="false" ht="12.1" outlineLevel="0" r="176">
      <c r="A176" s="5" t="s">
        <f>=HYPERLINK("https://www.leilaoonline.net/lote/detalhe/106754", "16362")</f>
      </c>
      <c r="B176" s="4" t="s">
        <f>=HYPERLINK("https://www.leilaoonline.net/lote/detalhe/106754", " TRANSBORDO SERMAG SMR 8500, ANO 2000,  FR123642, LOC.UNIVALEM ")</f>
      </c>
      <c r="C176" s="4" t="inlineStr">
        <is>
          <t>Não vendido</t>
        </is>
      </c>
      <c r="D176" s="4" t="inlineStr">
        <is>
          <t>1</t>
        </is>
      </c>
      <c r="E176" s="5" t="inlineStr">
        <is>
          <t>5.000,00</t>
        </is>
      </c>
      <c r="F176" s="4" t="inlineStr">
        <is>
          <t>500.00</t>
        </is>
      </c>
    </row>
    <row collapsed="false" customFormat="false" customHeight="false" hidden="false" ht="12.1" outlineLevel="0" r="177">
      <c r="A177" s="5" t="s">
        <f>=HYPERLINK("https://www.leilaoonline.net/lote/detalhe/106766", "16363")</f>
      </c>
      <c r="B177" s="4" t="s">
        <f>=HYPERLINK("https://www.leilaoonline.net/lote/detalhe/106766", " TRANSBORDO SERMAG 12 T, ANO 2009,  FR84968, LOC.UNIVALEM ")</f>
      </c>
      <c r="C177" s="4" t="inlineStr">
        <is>
          <t>Não vendido</t>
        </is>
      </c>
      <c r="D177" s="4" t="inlineStr">
        <is>
          <t>1</t>
        </is>
      </c>
      <c r="E177" s="5" t="inlineStr">
        <is>
          <t>5.000,00</t>
        </is>
      </c>
      <c r="F177" s="4" t="inlineStr">
        <is>
          <t>500.00</t>
        </is>
      </c>
    </row>
    <row collapsed="false" customFormat="false" customHeight="false" hidden="false" ht="12.1" outlineLevel="0" r="178">
      <c r="A178" s="5" t="s">
        <f>=HYPERLINK("https://www.leilaoonline.net/lote/detalhe/106769", "16364")</f>
      </c>
      <c r="B178" s="4" t="s">
        <f>=HYPERLINK("https://www.leilaoonline.net/lote/detalhe/106769", " TRANSBORDO ATA 12000 12T, ANO 2010,   FR123801, LOC. UNIVALEM 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5.000,00</t>
        </is>
      </c>
      <c r="F178" s="4" t="inlineStr">
        <is>
          <t>500.00</t>
        </is>
      </c>
    </row>
    <row collapsed="false" customFormat="false" customHeight="false" hidden="false" ht="12.1" outlineLevel="0" r="179">
      <c r="A179" s="5" t="s">
        <f>=HYPERLINK("https://www.leilaoonline.net/lote/detalhe/106759", "16365")</f>
      </c>
      <c r="B179" s="4" t="s">
        <f>=HYPERLINK("https://www.leilaoonline.net/lote/detalhe/106759", " TRATOR JOHN DEERE, ANO 2010, FR115554, LOC. DESTIVALE")</f>
      </c>
      <c r="C179" s="4" t="inlineStr">
        <is>
          <t>Vendido</t>
        </is>
      </c>
      <c r="D179" s="4" t="inlineStr">
        <is>
          <t>50</t>
        </is>
      </c>
      <c r="E179" s="5" t="inlineStr">
        <is>
          <t>84.000,00</t>
        </is>
      </c>
      <c r="F179" s="4" t="inlineStr">
        <is>
          <t>1000.00</t>
        </is>
      </c>
    </row>
    <row collapsed="false" customFormat="false" customHeight="false" hidden="false" ht="12.1" outlineLevel="0" r="180">
      <c r="A180" s="5" t="s">
        <f>=HYPERLINK("https://www.leilaoonline.net/lote/detalhe/106750", "16366")</f>
      </c>
      <c r="B180" s="4" t="s">
        <f>=HYPERLINK("https://www.leilaoonline.net/lote/detalhe/106750", " TRATOR JOHN DEERE 7225J, ANO 2012,  FR112405 , LOC. DESTIVALE")</f>
      </c>
      <c r="C180" s="4" t="inlineStr">
        <is>
          <t>Vendido</t>
        </is>
      </c>
      <c r="D180" s="4" t="inlineStr">
        <is>
          <t>44</t>
        </is>
      </c>
      <c r="E180" s="5" t="inlineStr">
        <is>
          <t>63.000,00</t>
        </is>
      </c>
      <c r="F180" s="4" t="inlineStr">
        <is>
          <t>1000.00</t>
        </is>
      </c>
    </row>
    <row collapsed="false" customFormat="false" customHeight="false" hidden="false" ht="12.1" outlineLevel="0" r="181">
      <c r="A181" s="5" t="s">
        <f>=HYPERLINK("https://www.leilaoonline.net/lote/detalhe/106763", "16367")</f>
      </c>
      <c r="B181" s="4" t="s">
        <f>=HYPERLINK("https://www.leilaoonline.net/lote/detalhe/106763", " TRATOR JOHN DEERE 7225J , ANO 2012, FR23238 , LOC. DESTIVALE")</f>
      </c>
      <c r="C181" s="4" t="inlineStr">
        <is>
          <t>Não vendido</t>
        </is>
      </c>
      <c r="D181" s="4" t="inlineStr">
        <is>
          <t>76</t>
        </is>
      </c>
      <c r="E181" s="5" t="inlineStr">
        <is>
          <t>110.000,00</t>
        </is>
      </c>
      <c r="F181" s="4" t="inlineStr">
        <is>
          <t>1000.00</t>
        </is>
      </c>
    </row>
    <row collapsed="false" customFormat="false" customHeight="false" hidden="false" ht="12.1" outlineLevel="0" r="182">
      <c r="A182" s="5" t="s">
        <f>=HYPERLINK("https://www.leilaoonline.net/lote/detalhe/106770", "16368")</f>
      </c>
      <c r="B182" s="4" t="s">
        <f>=HYPERLINK("https://www.leilaoonline.net/lote/detalhe/106770", " CAMINHÃO VW/31.330 BMB CRC CM, ANO 2012/2012, FR91247, LOC. DESTIVALE")</f>
      </c>
      <c r="C182" s="4" t="inlineStr">
        <is>
          <t>Não vendido</t>
        </is>
      </c>
      <c r="D182" s="4" t="inlineStr">
        <is>
          <t>53</t>
        </is>
      </c>
      <c r="E182" s="5" t="inlineStr">
        <is>
          <t>150.000,00</t>
        </is>
      </c>
      <c r="F182" s="4" t="inlineStr">
        <is>
          <t>1000.00</t>
        </is>
      </c>
    </row>
    <row collapsed="false" customFormat="false" customHeight="false" hidden="false" ht="12.1" outlineLevel="0" r="183">
      <c r="A183" s="5" t="s">
        <f>=HYPERLINK("https://www.leilaoonline.net/lote/detalhe/106767", "16369")</f>
      </c>
      <c r="B183" s="4" t="s">
        <f>=HYPERLINK("https://www.leilaoonline.net/lote/detalhe/106767", " TRATOR VALTRA BH180, ANO 2005,  FR91431, LOC. DESTIVALE")</f>
      </c>
      <c r="C183" s="4" t="inlineStr">
        <is>
          <t>Vendido</t>
        </is>
      </c>
      <c r="D183" s="4" t="inlineStr">
        <is>
          <t>51</t>
        </is>
      </c>
      <c r="E183" s="5" t="inlineStr">
        <is>
          <t>97.000,00</t>
        </is>
      </c>
      <c r="F183" s="4" t="inlineStr">
        <is>
          <t>1000.00</t>
        </is>
      </c>
    </row>
    <row collapsed="false" customFormat="false" customHeight="false" hidden="false" ht="12.1" outlineLevel="0" r="184">
      <c r="A184" s="5" t="s">
        <f>=HYPERLINK("https://www.leilaoonline.net/lote/detalhe/106753", "16370")</f>
      </c>
      <c r="B184" s="4" t="s">
        <f>=HYPERLINK("https://www.leilaoonline.net/lote/detalhe/106753", " TRANSBORDO SANTAL 12T, ANO 2014,  FR91277, LOC. DESTIVALE")</f>
      </c>
      <c r="C184" s="4" t="inlineStr">
        <is>
          <t>Vendido</t>
        </is>
      </c>
      <c r="D184" s="4" t="inlineStr">
        <is>
          <t>17</t>
        </is>
      </c>
      <c r="E184" s="5" t="inlineStr">
        <is>
          <t>13.000,00</t>
        </is>
      </c>
      <c r="F184" s="4" t="inlineStr">
        <is>
          <t>500.00</t>
        </is>
      </c>
    </row>
    <row collapsed="false" customFormat="false" customHeight="false" hidden="false" ht="12.1" outlineLevel="0" r="185">
      <c r="A185" s="5" t="s">
        <f>=HYPERLINK("https://www.leilaoonline.net/lote/detalhe/106761", "16371")</f>
      </c>
      <c r="B185" s="4" t="s">
        <f>=HYPERLINK("https://www.leilaoonline.net/lote/detalhe/106761", " TRANSBORDO SANTAL 12T, ANO 2014,  FR91274, LOC. DESTIVALE")</f>
      </c>
      <c r="C185" s="4" t="inlineStr">
        <is>
          <t>Vendido</t>
        </is>
      </c>
      <c r="D185" s="4" t="inlineStr">
        <is>
          <t>17</t>
        </is>
      </c>
      <c r="E185" s="5" t="inlineStr">
        <is>
          <t>13.000,00</t>
        </is>
      </c>
      <c r="F185" s="4" t="inlineStr">
        <is>
          <t>500.00</t>
        </is>
      </c>
    </row>
    <row collapsed="false" customFormat="false" customHeight="false" hidden="false" ht="12.1" outlineLevel="0" r="186">
      <c r="A186" s="5" t="s">
        <f>=HYPERLINK("https://www.leilaoonline.net/lote/detalhe/106757", "16372")</f>
      </c>
      <c r="B186" s="4" t="s">
        <f>=HYPERLINK("https://www.leilaoonline.net/lote/detalhe/106757", " TRATOR JOHN DEERE 7715, ANO 2010,  FR115549, LOC. DESTIVALE")</f>
      </c>
      <c r="C186" s="4" t="inlineStr">
        <is>
          <t>Vendido</t>
        </is>
      </c>
      <c r="D186" s="4" t="inlineStr">
        <is>
          <t>81</t>
        </is>
      </c>
      <c r="E186" s="5" t="inlineStr">
        <is>
          <t>115.000,00</t>
        </is>
      </c>
      <c r="F186" s="4" t="inlineStr">
        <is>
          <t>1000.00</t>
        </is>
      </c>
    </row>
    <row collapsed="false" customFormat="false" customHeight="false" hidden="false" ht="12.1" outlineLevel="0" r="187">
      <c r="A187" s="5" t="s">
        <f>=HYPERLINK("https://www.leilaoonline.net/lote/detalhe/106756", "16373")</f>
      </c>
      <c r="B187" s="4" t="s">
        <f>=HYPERLINK("https://www.leilaoonline.net/lote/detalhe/106756", " CARRETA TRANSB. 30M3 2,80M 600/55-26.5, ANO 2014,  FR91272, LOC. DESTIVALE")</f>
      </c>
      <c r="C187" s="4" t="inlineStr">
        <is>
          <t>Não vendido</t>
        </is>
      </c>
      <c r="D187" s="4" t="inlineStr">
        <is>
          <t>2</t>
        </is>
      </c>
      <c r="E187" s="5" t="inlineStr">
        <is>
          <t>5.500,00</t>
        </is>
      </c>
      <c r="F187" s="4" t="inlineStr">
        <is>
          <t>500.00</t>
        </is>
      </c>
    </row>
    <row collapsed="false" customFormat="false" customHeight="false" hidden="false" ht="12.1" outlineLevel="0" r="188">
      <c r="A188" s="5" t="s">
        <f>=HYPERLINK("https://www.leilaoonline.net/lote/detalhe/108765", "17174")</f>
      </c>
      <c r="B188" s="4" t="s">
        <f>=HYPERLINK("https://www.leilaoonline.net/lote/detalhe/108765", " PLANTADEIRA, FR92868, LOC. IPAUSSU 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7.000,00</t>
        </is>
      </c>
      <c r="F188" s="4" t="inlineStr">
        <is>
          <t>1000.00</t>
        </is>
      </c>
    </row>
    <row collapsed="false" customFormat="false" customHeight="false" hidden="false" ht="12.1" outlineLevel="0" r="189">
      <c r="A189" s="5" t="s">
        <f>=HYPERLINK("https://www.leilaoonline.net/lote/detalhe/108764", "17213")</f>
      </c>
      <c r="B189" s="4" t="s">
        <f>=HYPERLINK("https://www.leilaoonline.net/lote/detalhe/108764", " SUCATA DIVERSAS, 18 PARTES DE AR CONDICIONADO, 1 CONDENSADOR, 7 LUMINARIAS, 22 REFLETORES, 3 FRIGOBAR- TUBO AÇO CORTADO, 2 TAMBORES C/ SUCATA DE PARAFUSO COM BORRACHA, 1 MASCARA  P/ SOLDADOR,  LOC. IPAUSSU ")</f>
      </c>
      <c r="C189" s="4" t="inlineStr">
        <is>
          <t>Vendido</t>
        </is>
      </c>
      <c r="D189" s="4" t="inlineStr">
        <is>
          <t>1</t>
        </is>
      </c>
      <c r="E189" s="5" t="inlineStr">
        <is>
          <t>500,00</t>
        </is>
      </c>
      <c r="F189" s="4" t="inlineStr">
        <is>
          <t>250.00</t>
        </is>
      </c>
    </row>
    <row collapsed="false" customFormat="false" customHeight="false" hidden="false" ht="12.1" outlineLevel="0" r="190">
      <c r="A190" s="5" t="s">
        <f>=HYPERLINK("https://www.leilaoonline.net/lote/detalhe/107449", "18042")</f>
      </c>
      <c r="B190" s="4" t="s">
        <f>=HYPERLINK("https://www.leilaoonline.net/lote/detalhe/107449", " CAMINHÃO IVECO Daily 70C17 CD, ANO 2014, FR163205, LOC. JATAI ")</f>
      </c>
      <c r="C190" s="4" t="inlineStr">
        <is>
          <t>Vendido</t>
        </is>
      </c>
      <c r="D190" s="4" t="inlineStr">
        <is>
          <t>30</t>
        </is>
      </c>
      <c r="E190" s="5" t="inlineStr">
        <is>
          <t>35.500,00</t>
        </is>
      </c>
      <c r="F190" s="4" t="inlineStr">
        <is>
          <t>500.00</t>
        </is>
      </c>
    </row>
    <row collapsed="false" customFormat="false" customHeight="false" hidden="false" ht="12.1" outlineLevel="0" r="191">
      <c r="A191" s="5" t="s">
        <f>=HYPERLINK("https://www.leilaoonline.net/lote/detalhe/108070", "20438")</f>
      </c>
      <c r="B191" s="4" t="s">
        <f>=HYPERLINK("https://www.leilaoonline.net/lote/detalhe/108070", " CARRETA ABRIGO OPERAD.RSA, ANO 2012, FR139416, LOC. SÃO FRANCISCO ")</f>
      </c>
      <c r="C191" s="4" t="inlineStr">
        <is>
          <t>Não vendido</t>
        </is>
      </c>
      <c r="D191" s="4" t="inlineStr">
        <is>
          <t>47</t>
        </is>
      </c>
      <c r="E191" s="5" t="inlineStr">
        <is>
          <t>14.750,00</t>
        </is>
      </c>
      <c r="F191" s="4" t="inlineStr">
        <is>
          <t>500.00</t>
        </is>
      </c>
    </row>
    <row collapsed="false" customFormat="false" customHeight="false" hidden="false" ht="12.1" outlineLevel="0" r="192">
      <c r="A192" s="5" t="s">
        <f>=HYPERLINK("https://www.leilaoonline.net/lote/detalhe/108071", "20439")</f>
      </c>
      <c r="B192" s="4" t="s">
        <f>=HYPERLINK("https://www.leilaoonline.net/lote/detalhe/108071", " CARRETA ABRIGO OPERAD.RSA, ANO 2012, FR139431, LOC. SÃO FRANCISCO ")</f>
      </c>
      <c r="C192" s="4" t="inlineStr">
        <is>
          <t>Vendido</t>
        </is>
      </c>
      <c r="D192" s="4" t="inlineStr">
        <is>
          <t>42</t>
        </is>
      </c>
      <c r="E192" s="5" t="inlineStr">
        <is>
          <t>14.000,00</t>
        </is>
      </c>
      <c r="F192" s="4" t="inlineStr">
        <is>
          <t>500.00</t>
        </is>
      </c>
    </row>
    <row collapsed="false" customFormat="false" customHeight="false" hidden="false" ht="12.1" outlineLevel="0" r="193">
      <c r="A193" s="5" t="s">
        <f>=HYPERLINK("https://www.leilaoonline.net/lote/detalhe/108063", "20461")</f>
      </c>
      <c r="B193" s="4" t="s">
        <f>=HYPERLINK("https://www.leilaoonline.net/lote/detalhe/108063", "ELETROENCEFALOGRAMA MERDITRON – PLAQUETA 185453, LOC. COSTA PINTO")</f>
      </c>
      <c r="C193" s="4" t="inlineStr">
        <is>
          <t>Não vendido</t>
        </is>
      </c>
      <c r="D193" s="4" t="inlineStr">
        <is>
          <t>1</t>
        </is>
      </c>
      <c r="E193" s="5" t="inlineStr">
        <is>
          <t>300,00</t>
        </is>
      </c>
      <c r="F193" s="4" t="inlineStr">
        <is>
          <t>150.00</t>
        </is>
      </c>
    </row>
    <row collapsed="false" customFormat="false" customHeight="false" hidden="false" ht="12.1" outlineLevel="0" r="194">
      <c r="A194" s="5" t="s">
        <f>=HYPERLINK("https://www.leilaoonline.net/lote/detalhe/108062", "20464")</f>
      </c>
      <c r="B194" s="4" t="s">
        <f>=HYPERLINK("https://www.leilaoonline.net/lote/detalhe/108062", "AUTOCLAVE STERMAX 21 litros 10 A - PLAQUETA 164470, LOC. COSTA PINTO 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300,00</t>
        </is>
      </c>
      <c r="F194" s="4" t="inlineStr">
        <is>
          <t>150.00</t>
        </is>
      </c>
    </row>
    <row collapsed="false" customFormat="false" customHeight="false" hidden="false" ht="12.1" outlineLevel="0" r="195">
      <c r="A195" s="5" t="s">
        <f>=HYPERLINK("https://www.leilaoonline.net/lote/detalhe/108065", "20465")</f>
      </c>
      <c r="B195" s="4" t="s">
        <f>=HYPERLINK("https://www.leilaoonline.net/lote/detalhe/108065", "LOTE ELETRO DIVERSOS ( 1 FOGAO IND 2 BOCAS/ I PROCESSADOR/22 CADEIRAS/1 GELADEIRA/7 BEBEDOUROS/2 SUCATAS DE ARCONDICIONADO/1 SUCATA DE ROÇADEIRA/2 ARMARIOS)LOC. SANTA HELENA ")</f>
      </c>
      <c r="C195" s="4" t="inlineStr">
        <is>
          <t>Vendido</t>
        </is>
      </c>
      <c r="D195" s="4" t="inlineStr">
        <is>
          <t>2</t>
        </is>
      </c>
      <c r="E195" s="5" t="inlineStr">
        <is>
          <t>450,00</t>
        </is>
      </c>
      <c r="F195" s="4" t="inlineStr">
        <is>
          <t>150.00</t>
        </is>
      </c>
    </row>
    <row collapsed="false" customFormat="false" customHeight="false" hidden="false" ht="12.1" outlineLevel="0" r="196">
      <c r="A196" s="5" t="s">
        <f>=HYPERLINK("https://www.leilaoonline.net/lote/detalhe/108064", "20466")</f>
      </c>
      <c r="B196" s="4" t="s">
        <f>=HYPERLINK("https://www.leilaoonline.net/lote/detalhe/108064", "INCUBADORA BIOLÓGICA BIOCONTROL 6t- bivolt- LOC. COSTA PINTO")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300,00</t>
        </is>
      </c>
      <c r="F196" s="4" t="inlineStr">
        <is>
          <t>150.00</t>
        </is>
      </c>
    </row>
    <row collapsed="false" customFormat="false" customHeight="false" hidden="false" ht="12.1" outlineLevel="0" r="197">
      <c r="A197" s="5" t="s">
        <f>=HYPERLINK("https://www.leilaoonline.net/lote/detalhe/108069", "20470")</f>
      </c>
      <c r="B197" s="4" t="s">
        <f>=HYPERLINK("https://www.leilaoonline.net/lote/detalhe/108069", " TRATOR VALTRA BH145 4X4, ANO 2013, FR360754, LOC. BOM RETIRO")</f>
      </c>
      <c r="C197" s="4" t="inlineStr">
        <is>
          <t>Não vendido</t>
        </is>
      </c>
      <c r="D197" s="4" t="inlineStr">
        <is>
          <t>106</t>
        </is>
      </c>
      <c r="E197" s="5" t="inlineStr">
        <is>
          <t>162.000,00</t>
        </is>
      </c>
      <c r="F197" s="4" t="inlineStr">
        <is>
          <t>1500.00</t>
        </is>
      </c>
    </row>
    <row collapsed="false" customFormat="false" customHeight="false" hidden="false" ht="12.1" outlineLevel="0" r="198">
      <c r="A198" s="5" t="s">
        <f>=HYPERLINK("https://www.leilaoonline.net/lote/detalhe/108766", "20472")</f>
      </c>
      <c r="B198" s="4" t="s">
        <f>=HYPERLINK("https://www.leilaoonline.net/lote/detalhe/108766", " CARRETA ABRIGO, ANO 2012, FR139418, LOC. COSTA PINTO ")</f>
      </c>
      <c r="C198" s="4" t="inlineStr">
        <is>
          <t>Vendido</t>
        </is>
      </c>
      <c r="D198" s="4" t="inlineStr">
        <is>
          <t>15</t>
        </is>
      </c>
      <c r="E198" s="5" t="inlineStr">
        <is>
          <t>9.000,00</t>
        </is>
      </c>
      <c r="F198" s="4" t="inlineStr">
        <is>
          <t>500.00</t>
        </is>
      </c>
    </row>
    <row collapsed="false" customFormat="false" customHeight="false" hidden="false" ht="12.1" outlineLevel="0" r="199">
      <c r="A199" s="5" t="s">
        <f>=HYPERLINK("https://www.leilaoonline.net/lote/detalhe/108066", "20484")</f>
      </c>
      <c r="B199" s="4" t="s">
        <f>=HYPERLINK("https://www.leilaoonline.net/lote/detalhe/108066", " TRATOR VALTRA BH210, ANO 2014, FR 61031, LOC.BOM RETIRO ")</f>
      </c>
      <c r="C199" s="4" t="inlineStr">
        <is>
          <t>Não vendido</t>
        </is>
      </c>
      <c r="D199" s="4" t="inlineStr">
        <is>
          <t>85</t>
        </is>
      </c>
      <c r="E199" s="5" t="inlineStr">
        <is>
          <t>216.000,00</t>
        </is>
      </c>
      <c r="F199" s="4" t="inlineStr">
        <is>
          <t>2000.00</t>
        </is>
      </c>
    </row>
    <row collapsed="false" customFormat="false" customHeight="false" hidden="false" ht="12.1" outlineLevel="0" r="200">
      <c r="A200" s="5" t="s">
        <f>=HYPERLINK("https://www.leilaoonline.net/lote/detalhe/108068", "20485")</f>
      </c>
      <c r="B200" s="4" t="s">
        <f>=HYPERLINK("https://www.leilaoonline.net/lote/detalhe/108068", " TRATOR VALTRA BH210, ANO 2014, FR116534, LOC.BOM RETIRO ")</f>
      </c>
      <c r="C200" s="4" t="inlineStr">
        <is>
          <t>Não vendido</t>
        </is>
      </c>
      <c r="D200" s="4" t="inlineStr">
        <is>
          <t>83</t>
        </is>
      </c>
      <c r="E200" s="5" t="inlineStr">
        <is>
          <t>210.000,00</t>
        </is>
      </c>
      <c r="F200" s="4" t="inlineStr">
        <is>
          <t>2000.00</t>
        </is>
      </c>
    </row>
    <row collapsed="false" customFormat="false" customHeight="false" hidden="false" ht="12.1" outlineLevel="0" r="201">
      <c r="A201" s="5" t="s">
        <f>=HYPERLINK("https://www.leilaoonline.net/lote/detalhe/108060", "20493")</f>
      </c>
      <c r="B201" s="4" t="s">
        <f>=HYPERLINK("https://www.leilaoonline.net/lote/detalhe/108060", " PLANTADEIRA TMA, ANO 2014, FR140009, LOC.BOM RETIRO 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7.000,00</t>
        </is>
      </c>
      <c r="F201" s="4" t="inlineStr">
        <is>
          <t>1000.00</t>
        </is>
      </c>
    </row>
    <row collapsed="false" customFormat="false" customHeight="false" hidden="false" ht="12.1" outlineLevel="0" r="202">
      <c r="A202" s="5" t="s">
        <f>=HYPERLINK("https://www.leilaoonline.net/lote/detalhe/105717", "20513")</f>
      </c>
      <c r="B202" s="4" t="s">
        <f>=HYPERLINK("https://www.leilaoonline.net/lote/detalhe/105717", " CARRETA ESPALHA TORTA FILTRO, ANO 2008,  FR25434, LOC.COSTA PINTO ")</f>
      </c>
      <c r="C202" s="4" t="inlineStr">
        <is>
          <t>Não vendido</t>
        </is>
      </c>
      <c r="D202" s="4" t="inlineStr">
        <is>
          <t>6</t>
        </is>
      </c>
      <c r="E202" s="5" t="inlineStr">
        <is>
          <t>3.250,00</t>
        </is>
      </c>
      <c r="F202" s="4" t="inlineStr">
        <is>
          <t>250.00</t>
        </is>
      </c>
    </row>
    <row collapsed="false" customFormat="false" customHeight="false" hidden="false" ht="12.1" outlineLevel="0" r="203">
      <c r="A203" s="5" t="s">
        <f>=HYPERLINK("https://www.leilaoonline.net/lote/detalhe/105715", "20514")</f>
      </c>
      <c r="B203" s="4" t="s">
        <f>=HYPERLINK("https://www.leilaoonline.net/lote/detalhe/105715", " AUTOCLAVE, PL161155, LOC. SANTA HELENA 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300,00</t>
        </is>
      </c>
      <c r="F203" s="4" t="inlineStr">
        <is>
          <t>150.00</t>
        </is>
      </c>
    </row>
    <row collapsed="false" customFormat="false" customHeight="false" hidden="false" ht="12.1" outlineLevel="0" r="204">
      <c r="A204" s="5" t="s">
        <f>=HYPERLINK("https://www.leilaoonline.net/lote/detalhe/105720", "20515")</f>
      </c>
      <c r="B204" s="4" t="s">
        <f>=HYPERLINK("https://www.leilaoonline.net/lote/detalhe/105720", " MOTOCICLETA HONDA/BRAZCAR CARGO 150, ANO 2010/2010,  TITAN CARRETINHA, FR139963, LOC.SANTA HELENA ")</f>
      </c>
      <c r="C204" s="4" t="inlineStr">
        <is>
          <t>Não vendido</t>
        </is>
      </c>
      <c r="D204" s="4" t="inlineStr">
        <is>
          <t>19</t>
        </is>
      </c>
      <c r="E204" s="5" t="inlineStr">
        <is>
          <t>8.000,00</t>
        </is>
      </c>
      <c r="F204" s="4" t="inlineStr">
        <is>
          <t>250.00</t>
        </is>
      </c>
    </row>
    <row collapsed="false" customFormat="false" customHeight="false" hidden="false" ht="12.1" outlineLevel="0" r="205">
      <c r="A205" s="5" t="s">
        <f>=HYPERLINK("https://www.leilaoonline.net/lote/detalhe/105719", "20516")</f>
      </c>
      <c r="B205" s="4" t="s">
        <f>=HYPERLINK("https://www.leilaoonline.net/lote/detalhe/105719", " MOTOCICLETA HONDA/BRAZCAR CARGO 150,  ANO 2010/2010,CARRETINHA, FR63538, LOC.RAFARD ")</f>
      </c>
      <c r="C205" s="4" t="inlineStr">
        <is>
          <t>Vendido</t>
        </is>
      </c>
      <c r="D205" s="4" t="inlineStr">
        <is>
          <t>24</t>
        </is>
      </c>
      <c r="E205" s="5" t="inlineStr">
        <is>
          <t>8.750,00</t>
        </is>
      </c>
      <c r="F205" s="4" t="inlineStr">
        <is>
          <t>250.00</t>
        </is>
      </c>
    </row>
    <row collapsed="false" customFormat="false" customHeight="false" hidden="false" ht="12.1" outlineLevel="0" r="206">
      <c r="A206" s="5" t="s">
        <f>=HYPERLINK("https://www.leilaoonline.net/lote/detalhe/105729", "20518")</f>
      </c>
      <c r="B206" s="4" t="s">
        <f>=HYPERLINK("https://www.leilaoonline.net/lote/detalhe/105729", " CARRETA ESPARRAMADORA CALCAREO SOLLUS, ANO 2012,  FR25308, LOC. BOM RETIRO")</f>
      </c>
      <c r="C206" s="4" t="inlineStr">
        <is>
          <t>Não vendido</t>
        </is>
      </c>
      <c r="D206" s="4" t="inlineStr">
        <is>
          <t>10</t>
        </is>
      </c>
      <c r="E206" s="5" t="inlineStr">
        <is>
          <t>4.250,00</t>
        </is>
      </c>
      <c r="F206" s="4" t="inlineStr">
        <is>
          <t>250.00</t>
        </is>
      </c>
    </row>
    <row collapsed="false" customFormat="false" customHeight="false" hidden="false" ht="12.1" outlineLevel="0" r="207">
      <c r="A207" s="5" t="s">
        <f>=HYPERLINK("https://www.leilaoonline.net/lote/detalhe/105727", "20519")</f>
      </c>
      <c r="B207" s="4" t="s">
        <f>=HYPERLINK("https://www.leilaoonline.net/lote/detalhe/105727", " ELIMINADOR DMB DE SOQUEIRA COR AMARELA , ANO 2006,  FR25272, LOC. BOM RETIRO ")</f>
      </c>
      <c r="C207" s="4" t="inlineStr">
        <is>
          <t>Vendido</t>
        </is>
      </c>
      <c r="D207" s="4" t="inlineStr">
        <is>
          <t>6</t>
        </is>
      </c>
      <c r="E207" s="5" t="inlineStr">
        <is>
          <t>4.100,00</t>
        </is>
      </c>
      <c r="F207" s="4" t="inlineStr">
        <is>
          <t>250.00</t>
        </is>
      </c>
    </row>
    <row collapsed="false" customFormat="false" customHeight="false" hidden="false" ht="12.1" outlineLevel="0" r="208">
      <c r="A208" s="5" t="s">
        <f>=HYPERLINK("https://www.leilaoonline.net/lote/detalhe/105718", "20520")</f>
      </c>
      <c r="B208" s="4" t="s">
        <f>=HYPERLINK("https://www.leilaoonline.net/lote/detalhe/105718", " COBRIDOR (119314), FR67045, LOC. BOM RETIRO ")</f>
      </c>
      <c r="C208" s="4" t="inlineStr">
        <is>
          <t>Vendido</t>
        </is>
      </c>
      <c r="D208" s="4" t="inlineStr">
        <is>
          <t>4</t>
        </is>
      </c>
      <c r="E208" s="5" t="inlineStr">
        <is>
          <t>1.500,00</t>
        </is>
      </c>
      <c r="F208" s="4" t="inlineStr">
        <is>
          <t>150.00</t>
        </is>
      </c>
    </row>
    <row collapsed="false" customFormat="false" customHeight="false" hidden="false" ht="12.1" outlineLevel="0" r="209">
      <c r="A209" s="5" t="s">
        <f>=HYPERLINK("https://www.leilaoonline.net/lote/detalhe/105726", "20521")</f>
      </c>
      <c r="B209" s="4" t="s">
        <f>=HYPERLINK("https://www.leilaoonline.net/lote/detalhe/105726", " COLHEDORA J. DEERE 3522 2L, ANO 2010,  FR62220, LOC. BOM RETIRO ")</f>
      </c>
      <c r="C209" s="4" t="inlineStr">
        <is>
          <t>Não vendido</t>
        </is>
      </c>
      <c r="D209" s="4" t="inlineStr">
        <is>
          <t>1</t>
        </is>
      </c>
      <c r="E209" s="5" t="inlineStr">
        <is>
          <t>20.000,00</t>
        </is>
      </c>
      <c r="F209" s="4" t="inlineStr">
        <is>
          <t>1000.00</t>
        </is>
      </c>
    </row>
    <row collapsed="false" customFormat="false" customHeight="false" hidden="false" ht="12.1" outlineLevel="0" r="210">
      <c r="A210" s="5" t="s">
        <f>=HYPERLINK("https://www.leilaoonline.net/lote/detalhe/105728", "20522")</f>
      </c>
      <c r="B210" s="4" t="s">
        <f>=HYPERLINK("https://www.leilaoonline.net/lote/detalhe/105728", " COLHEDORA JOHN DEERE 3520,ANO 2010,  FR23621, LOC. BOM RETIRO ")</f>
      </c>
      <c r="C210" s="4" t="inlineStr">
        <is>
          <t>Não vendido</t>
        </is>
      </c>
      <c r="D210" s="4" t="inlineStr">
        <is>
          <t>1</t>
        </is>
      </c>
      <c r="E210" s="5" t="inlineStr">
        <is>
          <t>20.000,00</t>
        </is>
      </c>
      <c r="F210" s="4" t="inlineStr">
        <is>
          <t>1000.00</t>
        </is>
      </c>
    </row>
    <row collapsed="false" customFormat="false" customHeight="false" hidden="false" ht="12.1" outlineLevel="0" r="211">
      <c r="A211" s="5" t="s">
        <f>=HYPERLINK("https://www.leilaoonline.net/lote/detalhe/105721", "20523")</f>
      </c>
      <c r="B211" s="4" t="s">
        <f>=HYPERLINK("https://www.leilaoonline.net/lote/detalhe/105721", " COLHEDORA JOHN DEERE 3522 2L, ANO 2010,  FR62221, LOC.BOM RETIRO ")</f>
      </c>
      <c r="C211" s="4" t="inlineStr">
        <is>
          <t>Não vendido</t>
        </is>
      </c>
      <c r="D211" s="4" t="inlineStr">
        <is>
          <t>1</t>
        </is>
      </c>
      <c r="E211" s="5" t="inlineStr">
        <is>
          <t>20.000,00</t>
        </is>
      </c>
      <c r="F211" s="4" t="inlineStr">
        <is>
          <t>1000.00</t>
        </is>
      </c>
    </row>
    <row collapsed="false" customFormat="false" customHeight="false" hidden="false" ht="12.1" outlineLevel="0" r="212">
      <c r="A212" s="5" t="s">
        <f>=HYPERLINK("https://www.leilaoonline.net/lote/detalhe/105725", "20524")</f>
      </c>
      <c r="B212" s="4" t="s">
        <f>=HYPERLINK("https://www.leilaoonline.net/lote/detalhe/105725", " SUCATA CAMINHAO M.BENZ AXOR 3344 6X4 CAV,  ANO 2013/2013, (QUEIMADO)TANQUE FIBRA(QUEIMADO), FR10629, LOC. BOM RETIRO")</f>
      </c>
      <c r="C212" s="4" t="inlineStr">
        <is>
          <t>Não vendido</t>
        </is>
      </c>
      <c r="D212" s="4" t="inlineStr">
        <is>
          <t>25</t>
        </is>
      </c>
      <c r="E212" s="5" t="inlineStr">
        <is>
          <t>23.000,00</t>
        </is>
      </c>
      <c r="F212" s="4" t="inlineStr">
        <is>
          <t>500.00</t>
        </is>
      </c>
    </row>
    <row collapsed="false" customFormat="false" customHeight="false" hidden="false" ht="12.1" outlineLevel="0" r="213">
      <c r="A213" s="5" t="s">
        <f>=HYPERLINK("https://www.leilaoonline.net/lote/detalhe/105716", "20525")</f>
      </c>
      <c r="B213" s="4" t="s">
        <f>=HYPERLINK("https://www.leilaoonline.net/lote/detalhe/105716", " CARRETA ABRIGO OPERAD.RSA, ANO 2011, FR92790, LOC. BOM RETIRO ")</f>
      </c>
      <c r="C213" s="4" t="inlineStr">
        <is>
          <t>Não vendido</t>
        </is>
      </c>
      <c r="D213" s="4" t="inlineStr">
        <is>
          <t>22</t>
        </is>
      </c>
      <c r="E213" s="5" t="inlineStr">
        <is>
          <t>7.750,00</t>
        </is>
      </c>
      <c r="F213" s="4" t="inlineStr">
        <is>
          <t>250.00</t>
        </is>
      </c>
    </row>
    <row collapsed="false" customFormat="false" customHeight="false" hidden="false" ht="12.1" outlineLevel="0" r="214">
      <c r="A214" s="5" t="s">
        <f>=HYPERLINK("https://www.leilaoonline.net/lote/detalhe/108075", "20526")</f>
      </c>
      <c r="B214" s="4" t="s">
        <f>=HYPERLINK("https://www.leilaoonline.net/lote/detalhe/108075", "EMPILHADEIRA - CLARK - C-300HY40 - 2.000 Kg, FRFR58566, LOC. COSTA PINTO ")</f>
      </c>
      <c r="C214" s="4" t="inlineStr">
        <is>
          <t>Vendido</t>
        </is>
      </c>
      <c r="D214" s="4" t="inlineStr">
        <is>
          <t>52</t>
        </is>
      </c>
      <c r="E214" s="5" t="inlineStr">
        <is>
          <t>36.000,00</t>
        </is>
      </c>
      <c r="F214" s="4" t="inlineStr">
        <is>
          <t>500.00</t>
        </is>
      </c>
    </row>
    <row collapsed="false" customFormat="false" customHeight="false" hidden="false" ht="12.1" outlineLevel="0" r="215">
      <c r="A215" s="5" t="s">
        <f>=HYPERLINK("https://www.leilaoonline.net/lote/detalhe/108073", "20527")</f>
      </c>
      <c r="B215" s="4" t="s">
        <f>=HYPERLINK("https://www.leilaoonline.net/lote/detalhe/108073", "CHILLER DE RESFRIAMENTO DE MOSTO CAP 5 T 94 LT31T, FR259497, LOC. COSTA PINTO")</f>
      </c>
      <c r="C215" s="4" t="inlineStr">
        <is>
          <t>Vendido</t>
        </is>
      </c>
      <c r="D215" s="4" t="inlineStr">
        <is>
          <t>70</t>
        </is>
      </c>
      <c r="E215" s="5" t="inlineStr">
        <is>
          <t>22.750,00</t>
        </is>
      </c>
      <c r="F215" s="4" t="inlineStr">
        <is>
          <t>500.00</t>
        </is>
      </c>
    </row>
    <row collapsed="false" customFormat="false" customHeight="false" hidden="false" ht="12.1" outlineLevel="0" r="216">
      <c r="A216" s="5" t="s">
        <f>=HYPERLINK("https://www.leilaoonline.net/lote/detalhe/108076", "20534")</f>
      </c>
      <c r="B216" s="4" t="s">
        <f>=HYPERLINK("https://www.leilaoonline.net/lote/detalhe/108076", "12 AQUCEDORES, AQUECEDOR DE CALDO VERTICAL ( CASCO-TUBO, INCLUINDO ESPELHO, TAMPOS ) LOC. COSTA PINTO ")</f>
      </c>
      <c r="C216" s="4" t="inlineStr">
        <is>
          <t>Não vendido</t>
        </is>
      </c>
      <c r="D216" s="4" t="inlineStr">
        <is>
          <t>384</t>
        </is>
      </c>
      <c r="E216" s="5" t="inlineStr">
        <is>
          <t>486.000,00</t>
        </is>
      </c>
      <c r="F216" s="4" t="inlineStr">
        <is>
          <t>5000.00</t>
        </is>
      </c>
    </row>
    <row collapsed="false" customFormat="false" customHeight="false" hidden="false" ht="12.1" outlineLevel="0" r="217">
      <c r="A217" s="5" t="s">
        <f>=HYPERLINK("https://www.leilaoonline.net/lote/detalhe/108405", "20535")</f>
      </c>
      <c r="B217" s="4" t="s">
        <f>=HYPERLINK("https://www.leilaoonline.net/lote/detalhe/108405", "NOBREAK PHD 20kva, SERIE 3KB8131012877590030, LOC. COSTA PINTO 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500,00</t>
        </is>
      </c>
      <c r="F217" s="4" t="inlineStr">
        <is>
          <t>150.00</t>
        </is>
      </c>
    </row>
    <row collapsed="false" customFormat="false" customHeight="false" hidden="false" ht="12.1" outlineLevel="0" r="218">
      <c r="A218" s="5" t="s">
        <f>=HYPERLINK("https://www.leilaoonline.net/lote/detalhe/108061", "22097")</f>
      </c>
      <c r="B218" s="4" t="s">
        <f>=HYPERLINK("https://www.leilaoonline.net/lote/detalhe/108061", "2 CATRACA PREMIUM II INOX CPL Plaquetas 163449 /163447- LOC. SANTA HELENA 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500,00</t>
        </is>
      </c>
      <c r="F218" s="4" t="inlineStr">
        <is>
          <t>150.00</t>
        </is>
      </c>
    </row>
    <row collapsed="false" customFormat="false" customHeight="false" hidden="false" ht="12.1" outlineLevel="0" r="219">
      <c r="A219" s="5" t="s">
        <f>=HYPERLINK("https://www.leilaoonline.net/lote/detalhe/108059", "22144")</f>
      </c>
      <c r="B219" s="4" t="s">
        <f>=HYPERLINK("https://www.leilaoonline.net/lote/detalhe/108059", " BOMBA DOSAD OMEL NSP5 68L/MIN , FR220010, LOC. SANTA HELENA")</f>
      </c>
      <c r="C219" s="4" t="inlineStr">
        <is>
          <t>Vendido</t>
        </is>
      </c>
      <c r="D219" s="4" t="inlineStr">
        <is>
          <t>2</t>
        </is>
      </c>
      <c r="E219" s="5" t="inlineStr">
        <is>
          <t>650,00</t>
        </is>
      </c>
      <c r="F219" s="4" t="inlineStr">
        <is>
          <t>150.00</t>
        </is>
      </c>
    </row>
    <row collapsed="false" customFormat="false" customHeight="false" hidden="false" ht="12.1" outlineLevel="0" r="220">
      <c r="A220" s="5" t="s">
        <f>=HYPERLINK("https://www.leilaoonline.net/lote/detalhe/105723", "24210")</f>
      </c>
      <c r="B220" s="4" t="s">
        <f>=HYPERLINK("https://www.leilaoonline.net/lote/detalhe/105723", " CARROCERIA CANA INTEIRA , FR67338, LOC. BOM RETIRO ")</f>
      </c>
      <c r="C220" s="4" t="inlineStr">
        <is>
          <t>Vendido</t>
        </is>
      </c>
      <c r="D220" s="4" t="inlineStr">
        <is>
          <t>47</t>
        </is>
      </c>
      <c r="E220" s="5" t="inlineStr">
        <is>
          <t>16.500,00</t>
        </is>
      </c>
      <c r="F220" s="4" t="inlineStr">
        <is>
          <t>500.00</t>
        </is>
      </c>
    </row>
    <row collapsed="false" customFormat="false" customHeight="false" hidden="false" ht="12.1" outlineLevel="0" r="221">
      <c r="A221" s="5" t="s">
        <f>=HYPERLINK("https://www.leilaoonline.net/lote/detalhe/105722", "24343")</f>
      </c>
      <c r="B221" s="4" t="s">
        <f>=HYPERLINK("https://www.leilaoonline.net/lote/detalhe/105722", " ADUBADEIRA MARCA JUMIL MODELO JM3520SH, ANO 2011,  FR57306, LOCBOM RETIRO ")</f>
      </c>
      <c r="C221" s="4" t="inlineStr">
        <is>
          <t>Vendido</t>
        </is>
      </c>
      <c r="D221" s="4" t="inlineStr">
        <is>
          <t>3</t>
        </is>
      </c>
      <c r="E221" s="5" t="inlineStr">
        <is>
          <t>1.500,00</t>
        </is>
      </c>
      <c r="F22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2026-06-30T18:15:57.00Z</dcterms:created>
  <dc:creator>Tellks Tecnologia</dc:creator>
  <cp:revision>0</cp:revision>
</cp:coreProperties>
</file>