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BOBINAS DE CARRETEL - PALETES DE MADEIRA -  EMPILHADEIRAS - CAMINHÕES - MAQ PESADAS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26/05/2022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=HYPERLINK("https://www.leilaoonline.net/lote/detalhe/129328", "066")</f>
      </c>
      <c r="B11" s="4" t="s">
        <f>=HYPERLINK("https://www.leilaoonline.net/lote/detalhe/129328", "CKS-ATI-125-2021 - Manipulador de pneus MADAL, ANO 2004. - LOCALIZAÇÃO: CARAJÁS - PARÁ")</f>
      </c>
      <c r="C11" s="4" t="inlineStr">
        <is>
          <t>Vendido</t>
        </is>
      </c>
      <c r="D11" s="4" t="inlineStr">
        <is>
          <t>7</t>
        </is>
      </c>
      <c r="E11" s="5" t="inlineStr">
        <is>
          <t>41.580,00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=HYPERLINK("https://www.leilaoonline.net/lote/detalhe/128761", "075")</f>
      </c>
      <c r="B12" s="4" t="s">
        <f>=HYPERLINK("https://www.leilaoonline.net/lote/detalhe/128761", "MCR-075-2021 - Caminhonete, FORD F4000 4X4 CABINE TRIPLA. ANO 2015. - LOCALIZAÇÃO: Corumbá/MS")</f>
      </c>
      <c r="C12" s="4" t="inlineStr">
        <is>
          <t>Vendido</t>
        </is>
      </c>
      <c r="D12" s="4" t="inlineStr">
        <is>
          <t>66</t>
        </is>
      </c>
      <c r="E12" s="5" t="inlineStr">
        <is>
          <t>120.000,00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=HYPERLINK("https://www.leilaoonline.net/lote/detalhe/129329", "077")</f>
      </c>
      <c r="B13" s="4" t="s">
        <f>=HYPERLINK("https://www.leilaoonline.net/lote/detalhe/129329", "PIC-319-2022 - escavadeira HIDRAULICA  Caterpillar 390D, ANO 2014. - LOCALIZAÇÃO: ITABIRITO/MG")</f>
      </c>
      <c r="C13" s="4" t="inlineStr">
        <is>
          <t>Não vendido</t>
        </is>
      </c>
      <c r="D13" s="4" t="inlineStr">
        <is>
          <t>30</t>
        </is>
      </c>
      <c r="E13" s="5" t="inlineStr">
        <is>
          <t>135.000,00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=HYPERLINK("https://www.leilaoonline.net/lote/detalhe/128762", "079")</f>
      </c>
      <c r="B14" s="4" t="s">
        <f>=HYPERLINK("https://www.leilaoonline.net/lote/detalhe/128762", "PIC-321-2021 - 2 GERADORES STEMAC AM24 180KVA, 1 GERADOR DIESEL BRANCO 18KVA. - LOCALIZAÇÃO: Itabirito/MG ")</f>
      </c>
      <c r="C14" s="4" t="inlineStr">
        <is>
          <t>Vendido</t>
        </is>
      </c>
      <c r="D14" s="4" t="inlineStr">
        <is>
          <t>112</t>
        </is>
      </c>
      <c r="E14" s="5" t="inlineStr">
        <is>
          <t>132.000,00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=HYPERLINK("https://www.leilaoonline.net/lote/detalhe/129054", "098")</f>
      </c>
      <c r="B15" s="4" t="s">
        <f>=HYPERLINK("https://www.leilaoonline.net/lote/detalhe/129054", "MARI-BR07-2021 - BRITADOR TELSMITH TJ3258-LOCOTRACK, 1994 - LOCALIZAÇÃO: Mariana /MG")</f>
      </c>
      <c r="C15" s="4" t="inlineStr">
        <is>
          <t>Vendido</t>
        </is>
      </c>
      <c r="D15" s="4" t="inlineStr">
        <is>
          <t>20</t>
        </is>
      </c>
      <c r="E15" s="5" t="inlineStr">
        <is>
          <t>590.000,00</t>
        </is>
      </c>
      <c r="F15" s="4" t="inlineStr">
        <is>
          <t>10000.00</t>
        </is>
      </c>
    </row>
    <row collapsed="false" customFormat="false" customHeight="false" hidden="false" ht="12.1" outlineLevel="0" r="16">
      <c r="A16" s="5" t="s">
        <f>=HYPERLINK("https://www.leilaoonline.net/lote/detalhe/128755", "453")</f>
      </c>
      <c r="B16" s="4" t="s">
        <f>=HYPERLINK("https://www.leilaoonline.net/lote/detalhe/128755", "082-012-2022 - 58 CAVALETES - VEJA DESCRITIVO DE ITENS - LOCALIZAÇÃO: Vitória / ES")</f>
      </c>
      <c r="C16" s="4" t="inlineStr">
        <is>
          <t>Não vendido</t>
        </is>
      </c>
      <c r="D16" s="4" t="inlineStr">
        <is>
          <t>24</t>
        </is>
      </c>
      <c r="E16" s="5" t="inlineStr">
        <is>
          <t>6.500,00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=HYPERLINK("https://www.leilaoonline.net/lote/detalhe/128756", "457")</f>
      </c>
      <c r="B17" s="4" t="s">
        <f>=HYPERLINK("https://www.leilaoonline.net/lote/detalhe/128756", "082-025-2022 - 1 GERADOR DE SOLDA A DIESEL, BOBCAT 250, UNIMATIC, 200 HD, ANO 2007. 1 MAQUINA DE SOLDA SOLDARC 400,BALMER 4000, ANO 2008. - localização: Vitória/ES")</f>
      </c>
      <c r="C17" s="4" t="inlineStr">
        <is>
          <t>Vendido</t>
        </is>
      </c>
      <c r="D17" s="4" t="inlineStr">
        <is>
          <t>24</t>
        </is>
      </c>
      <c r="E17" s="5" t="inlineStr">
        <is>
          <t>6.250,00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=HYPERLINK("https://www.leilaoonline.net/lote/detalhe/129283", "458")</f>
      </c>
      <c r="B18" s="4" t="s">
        <f>=HYPERLINK("https://www.leilaoonline.net/lote/detalhe/129283", "SFH-023-2022- 01 ESTAÇÃO DE FILTRAGEM DE ETALGAS, FILTRO PRENSA - LOC. SIMÕES FILHO / BAHIA")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=HYPERLINK("https://www.leilaoonline.net/lote/detalhe/129288", "459")</f>
      </c>
      <c r="B19" s="4" t="s">
        <f>=HYPERLINK("https://www.leilaoonline.net/lote/detalhe/129288", "SFH-022-2022 - 78.177,123 ITENS DIVERSOS , VALVULAS, SENSORES, PINOS , PORCAS , LUVAS E OUTROS- VEJA DESCRITIVO DE ITENS - LOC. SIMÕES FILHO / BAHIA")</f>
      </c>
      <c r="C19" s="4" t="inlineStr">
        <is>
          <t>Vendido</t>
        </is>
      </c>
      <c r="D19" s="4" t="inlineStr">
        <is>
          <t>24</t>
        </is>
      </c>
      <c r="E19" s="5" t="inlineStr">
        <is>
          <t>250.000,00</t>
        </is>
      </c>
      <c r="F19" s="4" t="inlineStr">
        <is>
          <t>2000.00</t>
        </is>
      </c>
    </row>
    <row collapsed="false" customFormat="false" customHeight="false" hidden="false" ht="12.1" outlineLevel="0" r="20">
      <c r="A20" s="5" t="s">
        <f>=HYPERLINK("https://www.leilaoonline.net/lote/detalhe/128757", "471")</f>
      </c>
      <c r="B20" s="4" t="s">
        <f>=HYPERLINK("https://www.leilaoonline.net/lote/detalhe/128757", "FAB-089-2022 - 5 MAQUINAS DE SOLDA ELETRICA. veja descritivo de itens. localização: Ouro Preto/MG ")</f>
      </c>
      <c r="C20" s="4" t="inlineStr">
        <is>
          <t>Não vendido</t>
        </is>
      </c>
      <c r="D20" s="4" t="inlineStr">
        <is>
          <t>12</t>
        </is>
      </c>
      <c r="E20" s="5" t="inlineStr">
        <is>
          <t>3.750,00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=HYPERLINK("https://www.leilaoonline.net/lote/detalhe/128758", "516")</f>
      </c>
      <c r="B21" s="4" t="s">
        <f>=HYPERLINK("https://www.leilaoonline.net/lote/detalhe/128758", "TIG-019-2021 - 244 ITENS, REATORES, VALVULAS, MOTORES E OUTROS - VEJA DESCRITIVO DE ITENS. - LOCALIZAÇÃO: MANGARATIBA -  ILHA GUAÍBA")</f>
      </c>
      <c r="C21" s="4" t="inlineStr">
        <is>
          <t>Não vendido</t>
        </is>
      </c>
      <c r="D21" s="4" t="inlineStr">
        <is>
          <t>34</t>
        </is>
      </c>
      <c r="E21" s="5" t="inlineStr">
        <is>
          <t>22.500,00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=HYPERLINK("https://www.leilaoonline.net/lote/detalhe/128759", "518")</f>
      </c>
      <c r="B22" s="4" t="s">
        <f>=HYPERLINK("https://www.leilaoonline.net/lote/detalhe/128759", "TIG-021-2021 - 59 ITENS -TRANSFORMADORES, FONTES, MOTORES E OUTROS. VEJA DESCRITIVO DE VENDAS. - LOC: MANGARATIBA -  ILHA GUAÍBA")</f>
      </c>
      <c r="C22" s="4" t="inlineStr">
        <is>
          <t>Não vendido</t>
        </is>
      </c>
      <c r="D22" s="4" t="inlineStr">
        <is>
          <t>44</t>
        </is>
      </c>
      <c r="E22" s="5" t="inlineStr">
        <is>
          <t>33.000,00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=HYPERLINK("https://www.leilaoonline.net/lote/detalhe/128760", "519")</f>
      </c>
      <c r="B23" s="4" t="s">
        <f>=HYPERLINK("https://www.leilaoonline.net/lote/detalhe/128760", "TIG-022-2021 - 42 ITENS - MOTOR VIBRADOR ELÉTRICO, MÓDULOS, ACOPLAMENTOS E OUTROS. VEJA DESCRITIVO DE ITENS. - LOC: MANGARATIBA -  ILHA GUAÍBA")</f>
      </c>
      <c r="C23" s="4" t="inlineStr">
        <is>
          <t>Não vendido</t>
        </is>
      </c>
      <c r="D23" s="4" t="inlineStr">
        <is>
          <t>38</t>
        </is>
      </c>
      <c r="E23" s="5" t="inlineStr">
        <is>
          <t>25.500,00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=HYPERLINK("https://www.leilaoonline.net/lote/detalhe/129447", "520")</f>
      </c>
      <c r="B24" s="4" t="s">
        <f>=HYPERLINK("https://www.leilaoonline.net/lote/detalhe/129447", "SLB-005-2022 - 40 ITENS, PROTETORES DIVERSOS E OUTROS - VEJA DESCRITIVO DE ITENS - LOC. Marabá/ PA")</f>
      </c>
      <c r="C24" s="4" t="inlineStr">
        <is>
          <t>Vendido</t>
        </is>
      </c>
      <c r="D24" s="4" t="inlineStr">
        <is>
          <t>2</t>
        </is>
      </c>
      <c r="E24" s="5" t="inlineStr">
        <is>
          <t>1.049,00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=HYPERLINK("https://www.leilaoonline.net/lote/detalhe/129448", "521")</f>
      </c>
      <c r="B25" s="4" t="s">
        <f>=HYPERLINK("https://www.leilaoonline.net/lote/detalhe/129448", "SLB-006-2022 - 01 ACION 235-25-00161 KOMATSU, LOC. Marabá/ PA")</f>
      </c>
      <c r="C25" s="4" t="inlineStr">
        <is>
          <t>Vendido</t>
        </is>
      </c>
      <c r="D25" s="4" t="inlineStr">
        <is>
          <t>61</t>
        </is>
      </c>
      <c r="E25" s="5" t="inlineStr">
        <is>
          <t>14.550,00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=HYPERLINK("https://www.leilaoonline.net/lote/detalhe/129449", "522")</f>
      </c>
      <c r="B26" s="4" t="s">
        <f>=HYPERLINK("https://www.leilaoonline.net/lote/detalhe/129449", "SLB-008-2022- 275 ITENS, TELAS CALANDRA , CABEÇOTE - VEJA DESCRITIVO DE ITENS - LOC. Marabá/ PA")</f>
      </c>
      <c r="C26" s="4" t="inlineStr">
        <is>
          <t>Vendido</t>
        </is>
      </c>
      <c r="D26" s="4" t="inlineStr">
        <is>
          <t>65</t>
        </is>
      </c>
      <c r="E26" s="5" t="inlineStr">
        <is>
          <t>18.800,00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=HYPERLINK("https://www.leilaoonline.net/lote/detalhe/129450", "523")</f>
      </c>
      <c r="B27" s="4" t="s">
        <f>=HYPERLINK("https://www.leilaoonline.net/lote/detalhe/129450", "SLB-010-2022- 42 ITENS, TANQUE COMBUSTIVEL, CILINDROS , EIXOS E OUTROS - VEJA DESCRITIVIO DE ITENS - LOC. Marabá/ PA")</f>
      </c>
      <c r="C27" s="4" t="inlineStr">
        <is>
          <t>Vendido</t>
        </is>
      </c>
      <c r="D27" s="4" t="inlineStr">
        <is>
          <t>67</t>
        </is>
      </c>
      <c r="E27" s="5" t="inlineStr">
        <is>
          <t>168.600,00</t>
        </is>
      </c>
      <c r="F27" s="4" t="inlineStr">
        <is>
          <t>2000.00</t>
        </is>
      </c>
    </row>
    <row collapsed="false" customFormat="false" customHeight="false" hidden="false" ht="12.1" outlineLevel="0" r="28">
      <c r="A28" s="5" t="s">
        <f>=HYPERLINK("https://www.leilaoonline.net/lote/detalhe/128616", "650")</f>
      </c>
      <c r="B28" s="4" t="s">
        <f>=HYPERLINK("https://www.leilaoonline.net/lote/detalhe/128616", " 082-024-2022  - EMPILHADEIRA PALETRANS, MOD. LM1016, ANO. 2011 - LOC. VITORIA/ES 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=HYPERLINK("https://www.leilaoonline.net/lote/detalhe/128645", "651")</f>
      </c>
      <c r="B29" s="4" t="s">
        <f>=HYPERLINK("https://www.leilaoonline.net/lote/detalhe/128645", " 082-034-2022 - Empilhadeira HYSTER, MOD. H90FT, ANO 2012/2012 - LOC. Vitória/ES")</f>
      </c>
      <c r="C29" s="4" t="inlineStr">
        <is>
          <t>Vendido</t>
        </is>
      </c>
      <c r="D29" s="4" t="inlineStr">
        <is>
          <t>74</t>
        </is>
      </c>
      <c r="E29" s="5" t="inlineStr">
        <is>
          <t>100.500,00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=HYPERLINK("https://www.leilaoonline.net/lote/detalhe/128632", "653")</f>
      </c>
      <c r="B30" s="4" t="s">
        <f>=HYPERLINK("https://www.leilaoonline.net/lote/detalhe/128632", " 082-038-2022 - EMPILHADEIRA CLARK, MOD.C25D, ANO 2007/2007 - LOC. VITORIA/ES")</f>
      </c>
      <c r="C30" s="4" t="inlineStr">
        <is>
          <t>Não vendido</t>
        </is>
      </c>
      <c r="D30" s="4" t="inlineStr">
        <is>
          <t>33</t>
        </is>
      </c>
      <c r="E30" s="5" t="inlineStr">
        <is>
          <t>46.000,00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=HYPERLINK("https://www.leilaoonline.net/lote/detalhe/128627", "654")</f>
      </c>
      <c r="B31" s="4" t="s">
        <f>=HYPERLINK("https://www.leilaoonline.net/lote/detalhe/128627", " 082-086-2022 - CAMINHÃO MUNK MERCEDES BENZ, MOD. 2423K - LOC. VITORIA/ES")</f>
      </c>
      <c r="C31" s="4" t="inlineStr">
        <is>
          <t>Vendido</t>
        </is>
      </c>
      <c r="D31" s="4" t="inlineStr">
        <is>
          <t>111</t>
        </is>
      </c>
      <c r="E31" s="5" t="inlineStr">
        <is>
          <t>214.000,00</t>
        </is>
      </c>
      <c r="F31" s="4" t="inlineStr">
        <is>
          <t>2000.00</t>
        </is>
      </c>
    </row>
    <row collapsed="false" customFormat="false" customHeight="false" hidden="false" ht="12.1" outlineLevel="0" r="32">
      <c r="A32" s="5" t="s">
        <f>=HYPERLINK("https://www.leilaoonline.net/lote/detalhe/128629", "655")</f>
      </c>
      <c r="B32" s="4" t="s">
        <f>=HYPERLINK("https://www.leilaoonline.net/lote/detalhe/128629", " 082-137-2022 - EMPILHADEIRA LINDE, MOD: H25D-02, ANO 2014/2014 - LOC. VITORIA/ES")</f>
      </c>
      <c r="C32" s="4" t="inlineStr">
        <is>
          <t>Vendido</t>
        </is>
      </c>
      <c r="D32" s="4" t="inlineStr">
        <is>
          <t>21</t>
        </is>
      </c>
      <c r="E32" s="5" t="inlineStr">
        <is>
          <t>41.000,00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=HYPERLINK("https://www.leilaoonline.net/lote/detalhe/128625", "656")</f>
      </c>
      <c r="B33" s="4" t="s">
        <f>=HYPERLINK("https://www.leilaoonline.net/lote/detalhe/128625", " 082-189-2021 - REBOQUE ECOSORB S.A - T, ANO 2007 - LOC. VITORIA/ES")</f>
      </c>
      <c r="C33" s="4" t="inlineStr">
        <is>
          <t>Não vendido</t>
        </is>
      </c>
      <c r="D33" s="4" t="inlineStr">
        <is>
          <t>3</t>
        </is>
      </c>
      <c r="E33" s="5" t="inlineStr">
        <is>
          <t>1.700,00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=HYPERLINK("https://www.leilaoonline.net/lote/detalhe/128640", "658")</f>
      </c>
      <c r="B34" s="4" t="s">
        <f>=HYPERLINK("https://www.leilaoonline.net/lote/detalhe/128640", " 082-195-2021 - EMPILHADEIRA CLARK, MOD.C80D, ANO 2010/2010 - LOC. VITORIA/ES")</f>
      </c>
      <c r="C34" s="4" t="inlineStr">
        <is>
          <t>Vendido</t>
        </is>
      </c>
      <c r="D34" s="4" t="inlineStr">
        <is>
          <t>32</t>
        </is>
      </c>
      <c r="E34" s="5" t="inlineStr">
        <is>
          <t>64.000,00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=HYPERLINK("https://www.leilaoonline.net/lote/detalhe/128622", "659")</f>
      </c>
      <c r="B35" s="4" t="s">
        <f>=HYPERLINK("https://www.leilaoonline.net/lote/detalhe/128622", " 082-196-2021 - CAMINHÃO CAÇAMBA MERCEDES BENZ, MOD. AXOR 2831, ANO 2012/2012 - LOC. VITORIA/ES")</f>
      </c>
      <c r="C35" s="4" t="inlineStr">
        <is>
          <t>Vendido</t>
        </is>
      </c>
      <c r="D35" s="4" t="inlineStr">
        <is>
          <t>47</t>
        </is>
      </c>
      <c r="E35" s="5" t="inlineStr">
        <is>
          <t>175.000,00</t>
        </is>
      </c>
      <c r="F35" s="4" t="inlineStr">
        <is>
          <t>2000.00</t>
        </is>
      </c>
    </row>
    <row collapsed="false" customFormat="false" customHeight="false" hidden="false" ht="12.1" outlineLevel="0" r="36">
      <c r="A36" s="5" t="s">
        <f>=HYPERLINK("https://www.leilaoonline.net/lote/detalhe/128624", "661")</f>
      </c>
      <c r="B36" s="4" t="s">
        <f>=HYPERLINK("https://www.leilaoonline.net/lote/detalhe/128624", " 082-202-2021 - CAMINHÃO PIPA MERCEDES BENZ, MOD. ATEGO 1725, ANO 2010/2011 - LOC. VITORIA/ES")</f>
      </c>
      <c r="C36" s="4" t="inlineStr">
        <is>
          <t>Não vendido</t>
        </is>
      </c>
      <c r="D36" s="4" t="inlineStr">
        <is>
          <t>73</t>
        </is>
      </c>
      <c r="E36" s="5" t="inlineStr">
        <is>
          <t>132.000,00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=HYPERLINK("https://www.leilaoonline.net/lote/detalhe/128617", "662")</f>
      </c>
      <c r="B37" s="4" t="s">
        <f>=HYPERLINK("https://www.leilaoonline.net/lote/detalhe/128617", " 082-205-2021  - CAMINHÃO CARROCERIA MERCEDES BENZ, MOD. ATEGO 1725, ANO 2011/2012 - VITORIA/ES")</f>
      </c>
      <c r="C37" s="4" t="inlineStr">
        <is>
          <t>Vendido</t>
        </is>
      </c>
      <c r="D37" s="4" t="inlineStr">
        <is>
          <t>91</t>
        </is>
      </c>
      <c r="E37" s="5" t="inlineStr">
        <is>
          <t>130.000,00</t>
        </is>
      </c>
      <c r="F37" s="4" t="inlineStr">
        <is>
          <t>2000.00</t>
        </is>
      </c>
    </row>
    <row collapsed="false" customFormat="false" customHeight="false" hidden="false" ht="12.1" outlineLevel="0" r="38">
      <c r="A38" s="5" t="s">
        <f>=HYPERLINK("https://www.leilaoonline.net/lote/detalhe/128623", "663")</f>
      </c>
      <c r="B38" s="4" t="s">
        <f>=HYPERLINK("https://www.leilaoonline.net/lote/detalhe/128623", " 082-207-2021 - CAMINHÃO MERCEDES BENZ, MOD. AXOR 2831, ANO 2013/2013 - LOC. VITORIA/ES")</f>
      </c>
      <c r="C38" s="4" t="inlineStr">
        <is>
          <t>Vendido</t>
        </is>
      </c>
      <c r="D38" s="4" t="inlineStr">
        <is>
          <t>97</t>
        </is>
      </c>
      <c r="E38" s="5" t="inlineStr">
        <is>
          <t>268.000,00</t>
        </is>
      </c>
      <c r="F38" s="4" t="inlineStr">
        <is>
          <t>2000.00</t>
        </is>
      </c>
    </row>
    <row collapsed="false" customFormat="false" customHeight="false" hidden="false" ht="12.1" outlineLevel="0" r="39">
      <c r="A39" s="5" t="s">
        <f>=HYPERLINK("https://www.leilaoonline.net/lote/detalhe/128639", "664")</f>
      </c>
      <c r="B39" s="4" t="s">
        <f>=HYPERLINK("https://www.leilaoonline.net/lote/detalhe/128639", " 082-208-2021 - CAMINHÃO MERCEDES BENZ, MOD. ATEGO 2425, ANO 2011/2012 - LOC. VITORIA/ ES")</f>
      </c>
      <c r="C39" s="4" t="inlineStr">
        <is>
          <t>Não vendido</t>
        </is>
      </c>
      <c r="D39" s="4" t="inlineStr">
        <is>
          <t>62</t>
        </is>
      </c>
      <c r="E39" s="5" t="inlineStr">
        <is>
          <t>138.000,00</t>
        </is>
      </c>
      <c r="F39" s="4" t="inlineStr">
        <is>
          <t>2000.00</t>
        </is>
      </c>
    </row>
    <row collapsed="false" customFormat="false" customHeight="false" hidden="false" ht="12.1" outlineLevel="0" r="40">
      <c r="A40" s="5" t="s">
        <f>=HYPERLINK("https://www.leilaoonline.net/lote/detalhe/128644", "666")</f>
      </c>
      <c r="B40" s="4" t="s">
        <f>=HYPERLINK("https://www.leilaoonline.net/lote/detalhe/128644", " 082-213-2022  - MÁQUINA DE SOLDA CASTOLIN EUTECT, MOD. GSX 450, ANO 2018 - LOC. VITORIA/ES")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=HYPERLINK("https://www.leilaoonline.net/lote/detalhe/128648", "667")</f>
      </c>
      <c r="B41" s="4" t="s">
        <f>=HYPERLINK("https://www.leilaoonline.net/lote/detalhe/128648", " 082-214-2022 - PALETEIRA ELETRICA HYSTER BRASIL, MOD. S1,6-ACBBR, ANO. 2016 - LOC. VITORIA/ES")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=HYPERLINK("https://www.leilaoonline.net/lote/detalhe/128638", "668")</f>
      </c>
      <c r="B42" s="4" t="s">
        <f>=HYPERLINK("https://www.leilaoonline.net/lote/detalhe/128638", " 082-234-2022 - PALETEIRA ELETRICA PALETRANS, MOD. TE18, ANO. 2000 - LOC. VITORIA/ES")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=HYPERLINK("https://www.leilaoonline.net/lote/detalhe/128650", "669")</f>
      </c>
      <c r="B43" s="4" t="s">
        <f>=HYPERLINK("https://www.leilaoonline.net/lote/detalhe/128650", " 082-237-2022 - ESMILHADEIRA GEISMAR, MOD. MP5, ANO 2004 - LOC. VITORIA/ES")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=HYPERLINK("https://www.leilaoonline.net/lote/detalhe/128647", "670")</f>
      </c>
      <c r="B44" s="4" t="s">
        <f>=HYPERLINK("https://www.leilaoonline.net/lote/detalhe/128647", " JAIBA-001-2022 - 54 UN. DE BOBINAS / CARRETEL 190/100 - LOC. JAIBA/MG")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=HYPERLINK("https://www.leilaoonline.net/lote/detalhe/128621", "671")</f>
      </c>
      <c r="B45" s="4" t="s">
        <f>=HYPERLINK("https://www.leilaoonline.net/lote/detalhe/128621", " JAIBA-002-2022 - 380 UN, PALETES de Madeira (2 x 1 m) - LOC. JAIBA/MG")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=HYPERLINK("https://www.leilaoonline.net/lote/detalhe/128643", "672")</f>
      </c>
      <c r="B46" s="4" t="s">
        <f>=HYPERLINK("https://www.leilaoonline.net/lote/detalhe/128643", " JAIBA-003-2022 - 400 UN. DE PALETES DE MADEIRA (2X1) - LOC. JAIBA/MG")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2.400,00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=HYPERLINK("https://www.leilaoonline.net/lote/detalhe/128626", "673")</f>
      </c>
      <c r="B47" s="4" t="s">
        <f>=HYPERLINK("https://www.leilaoonline.net/lote/detalhe/128626", " JAIBA-004-2022 - 27 UN. DE Bobinas / Carretel 190/100 - LOC. JAIBA/MG")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=HYPERLINK("https://www.leilaoonline.net/lote/detalhe/128636", "674")</f>
      </c>
      <c r="B48" s="4" t="s">
        <f>=HYPERLINK("https://www.leilaoonline.net/lote/detalhe/128636", " SLB-019-2022 - 3 UN. DE SUCATAS DE CONTAINER MARITIMO - LOC. MARABA/PA")</f>
      </c>
      <c r="C48" s="4" t="inlineStr">
        <is>
          <t>Vendido</t>
        </is>
      </c>
      <c r="D48" s="4" t="inlineStr">
        <is>
          <t>41</t>
        </is>
      </c>
      <c r="E48" s="5" t="inlineStr">
        <is>
          <t>15.700,00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=HYPERLINK("https://www.leilaoonline.net/lote/detalhe/128620", "675")</f>
      </c>
      <c r="B49" s="4" t="s">
        <f>=HYPERLINK("https://www.leilaoonline.net/lote/detalhe/128620", " SLB-024-2022 - TORNO MECANICO HORIZONTAL DIPLOMAT ND325 - LOC. MARABA/PA")</f>
      </c>
      <c r="C49" s="4" t="inlineStr">
        <is>
          <t>Vendido</t>
        </is>
      </c>
      <c r="D49" s="4" t="inlineStr">
        <is>
          <t>50</t>
        </is>
      </c>
      <c r="E49" s="5" t="inlineStr">
        <is>
          <t>72.000,00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=HYPERLINK("https://www.leilaoonline.net/lote/detalhe/128634", "676")</f>
      </c>
      <c r="B50" s="4" t="s">
        <f>=HYPERLINK("https://www.leilaoonline.net/lote/detalhe/128634", " SLB-025-2022 - BRITADOR DE MANDIBULA- PRIMARIO - LOC. MARABA/PA")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=HYPERLINK("https://www.leilaoonline.net/lote/detalhe/128618", "677")</f>
      </c>
      <c r="B51" s="4" t="s">
        <f>=HYPERLINK("https://www.leilaoonline.net/lote/detalhe/128618", "  SLB-048-2021 - PERFURATRIZ ATLAS COPCO, MOD. PV235, ANO 2015 - LOC. MARABA/PA")</f>
      </c>
      <c r="C51" s="4" t="inlineStr">
        <is>
          <t>Não vendido</t>
        </is>
      </c>
      <c r="D51" s="4" t="inlineStr">
        <is>
          <t>4</t>
        </is>
      </c>
      <c r="E51" s="5" t="inlineStr">
        <is>
          <t>34.000,00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=HYPERLINK("https://www.leilaoonline.net/lote/detalhe/128635", "679")</f>
      </c>
      <c r="B52" s="4" t="s">
        <f>=HYPERLINK("https://www.leilaoonline.net/lote/detalhe/128635", " SLS-EQ-009-2022 - MEDIDOR DE VIBRACAO; FLUKE 805FC; FLUKE - LOC. SÃO LUIS/MA")</f>
      </c>
      <c r="C52" s="4" t="inlineStr">
        <is>
          <t>Não vendido</t>
        </is>
      </c>
      <c r="D52" s="4" t="inlineStr">
        <is>
          <t>4</t>
        </is>
      </c>
      <c r="E52" s="5" t="inlineStr">
        <is>
          <t>5.250,00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=HYPERLINK("https://www.leilaoonline.net/lote/detalhe/128641", "680")</f>
      </c>
      <c r="B53" s="4" t="s">
        <f>=HYPERLINK("https://www.leilaoonline.net/lote/detalhe/128641", " SLS-EQ-016-2022 - ELEVADOR DE CARGA ENERCAP, ANO 2007 - LOC. SÃO LUIS/MA")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=HYPERLINK("https://www.leilaoonline.net/lote/detalhe/128628", "681")</f>
      </c>
      <c r="B54" s="4" t="s">
        <f>=HYPERLINK("https://www.leilaoonline.net/lote/detalhe/128628", " SLS-EQ-019-2022 - APARELHO DE RAIO-X GE, MOD. PHASOR XS, ANO 2017 - LOC. SÃO LUIS/MA")</f>
      </c>
      <c r="C54" s="4" t="inlineStr">
        <is>
          <t>Não vendido</t>
        </is>
      </c>
      <c r="D54" s="4" t="inlineStr">
        <is>
          <t>2</t>
        </is>
      </c>
      <c r="E54" s="5" t="inlineStr">
        <is>
          <t>7.500,00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=HYPERLINK("https://www.leilaoonline.net/lote/detalhe/128642", "682")</f>
      </c>
      <c r="B55" s="4" t="s">
        <f>=HYPERLINK("https://www.leilaoonline.net/lote/detalhe/128642", " SLS-EQ-020-2022  - VAGÃO BAGAGEIRO E VAGÃO DE PASSAGEIROS SMR - 104351-0 - LOC. SÃO LUIS/MA")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=HYPERLINK("https://www.leilaoonline.net/lote/detalhe/128619", "683")</f>
      </c>
      <c r="B56" s="4" t="s">
        <f>=HYPERLINK("https://www.leilaoonline.net/lote/detalhe/128619", " SLS-EQ-030-2021 - CARREGADEIRA CATERPILLAR, MOD 962G, ANO 2005 - LOC. SÃO LUIS/MA")</f>
      </c>
      <c r="C56" s="4" t="inlineStr">
        <is>
          <t>Vendido</t>
        </is>
      </c>
      <c r="D56" s="4" t="inlineStr">
        <is>
          <t>71</t>
        </is>
      </c>
      <c r="E56" s="5" t="inlineStr">
        <is>
          <t>120.000,00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=HYPERLINK("https://www.leilaoonline.net/lote/detalhe/128649", "684")</f>
      </c>
      <c r="B57" s="4" t="s">
        <f>=HYPERLINK("https://www.leilaoonline.net/lote/detalhe/128649", " TIG-015-2022  - CONTRA RECUO 240MM - LOC. MANGARATIBA/RJ")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40.000,00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=HYPERLINK("https://www.leilaoonline.net/lote/detalhe/128583", "685")</f>
      </c>
      <c r="B58" s="4" t="s">
        <f>=HYPERLINK("https://www.leilaoonline.net/lote/detalhe/128583", " CKS-ATI-014-2022 - PERFURATRIZ ATLAS COPCO PFDML 2006 - CARAJÁS/ PARÁ")</f>
      </c>
      <c r="C58" s="4" t="inlineStr">
        <is>
          <t>Vendido</t>
        </is>
      </c>
      <c r="D58" s="4" t="inlineStr">
        <is>
          <t>50</t>
        </is>
      </c>
      <c r="E58" s="5" t="inlineStr">
        <is>
          <t>69.000,00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=HYPERLINK("https://www.leilaoonline.net/lote/detalhe/128578", "686")</f>
      </c>
      <c r="B59" s="4" t="s">
        <f>=HYPERLINK("https://www.leilaoonline.net/lote/detalhe/128578", " CKS-ATI-032-2022 - MOEGA DO SILO - PARAUAPEBAS/ PARÁ")</f>
      </c>
      <c r="C59" s="4" t="inlineStr">
        <is>
          <t>Vendido</t>
        </is>
      </c>
      <c r="D59" s="4" t="inlineStr">
        <is>
          <t>10</t>
        </is>
      </c>
      <c r="E59" s="5" t="inlineStr">
        <is>
          <t>19.500,00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=HYPERLINK("https://www.leilaoonline.net/lote/detalhe/128590", "687")</f>
      </c>
      <c r="B60" s="4" t="s">
        <f>=HYPERLINK("https://www.leilaoonline.net/lote/detalhe/128590", " CKS-ATI-038-2022 - TRATOR DE PNEU CATERPILLAR 854K 2010 - CARAJÁS/ PARÁ")</f>
      </c>
      <c r="C60" s="4" t="inlineStr">
        <is>
          <t>Vendido</t>
        </is>
      </c>
      <c r="D60" s="4" t="inlineStr">
        <is>
          <t>26</t>
        </is>
      </c>
      <c r="E60" s="5" t="inlineStr">
        <is>
          <t>200.000,00</t>
        </is>
      </c>
      <c r="F60" s="4" t="inlineStr">
        <is>
          <t>2000.00</t>
        </is>
      </c>
    </row>
    <row collapsed="false" customFormat="false" customHeight="false" hidden="false" ht="12.1" outlineLevel="0" r="61">
      <c r="A61" s="5" t="s">
        <f>=HYPERLINK("https://www.leilaoonline.net/lote/detalhe/128585", "688")</f>
      </c>
      <c r="B61" s="4" t="s">
        <f>=HYPERLINK("https://www.leilaoonline.net/lote/detalhe/128585", " CKS-ATI-054-2022 - 2 BOMBAS AXIAL CENTRIFUGA BA_145_30 E 31 - CARAJÁS/ PARÁ")</f>
      </c>
      <c r="C61" s="4" t="inlineStr">
        <is>
          <t>Vendido</t>
        </is>
      </c>
      <c r="D61" s="4" t="inlineStr">
        <is>
          <t>5</t>
        </is>
      </c>
      <c r="E61" s="5" t="inlineStr">
        <is>
          <t>8.000,00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=HYPERLINK("https://www.leilaoonline.net/lote/detalhe/128591", "689")</f>
      </c>
      <c r="B62" s="4" t="s">
        <f>=HYPERLINK("https://www.leilaoonline.net/lote/detalhe/128591", " CKS-ATI-121-2021 - CAMINHÃO MUNK MERCEDES BENZ AXOR 3340 2011 - PARAUAPEBAS/ PARÁ")</f>
      </c>
      <c r="C62" s="4" t="inlineStr">
        <is>
          <t>Vendido</t>
        </is>
      </c>
      <c r="D62" s="4" t="inlineStr">
        <is>
          <t>104</t>
        </is>
      </c>
      <c r="E62" s="5" t="inlineStr">
        <is>
          <t>278.000,00</t>
        </is>
      </c>
      <c r="F62" s="4" t="inlineStr">
        <is>
          <t>2000.00</t>
        </is>
      </c>
    </row>
    <row collapsed="false" customFormat="false" customHeight="false" hidden="false" ht="12.1" outlineLevel="0" r="63">
      <c r="A63" s="5" t="s">
        <f>=HYPERLINK("https://www.leilaoonline.net/lote/detalhe/128589", "690")</f>
      </c>
      <c r="B63" s="4" t="s">
        <f>=HYPERLINK("https://www.leilaoonline.net/lote/detalhe/128589", " CKS-ATI-123-2021 - TRATOR DE ESTEIRA CATRPILLAR D11R 2005 - CARAJÁS/ PARÁ")</f>
      </c>
      <c r="C63" s="4" t="inlineStr">
        <is>
          <t>Vendido</t>
        </is>
      </c>
      <c r="D63" s="4" t="inlineStr">
        <is>
          <t>7</t>
        </is>
      </c>
      <c r="E63" s="5" t="inlineStr">
        <is>
          <t>250.000,00</t>
        </is>
      </c>
      <c r="F63" s="4" t="inlineStr">
        <is>
          <t>2000.00</t>
        </is>
      </c>
    </row>
    <row collapsed="false" customFormat="false" customHeight="false" hidden="false" ht="12.1" outlineLevel="0" r="64">
      <c r="A64" s="5" t="s">
        <f>=HYPERLINK("https://www.leilaoonline.net/lote/detalhe/128594", "691")</f>
      </c>
      <c r="B64" s="4" t="s">
        <f>=HYPERLINK("https://www.leilaoonline.net/lote/detalhe/128594", " CKS-ATI-124-2021 - MOTONIVELADORA CATERPILLAR 24H 2005 - CARAJÁS/ PARÁ")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30.000,00</t>
        </is>
      </c>
      <c r="F64" s="4" t="inlineStr">
        <is>
          <t>2000.00</t>
        </is>
      </c>
    </row>
    <row collapsed="false" customFormat="false" customHeight="false" hidden="false" ht="12.1" outlineLevel="0" r="65">
      <c r="A65" s="5" t="s">
        <f>=HYPERLINK("https://www.leilaoonline.net/lote/detalhe/128588", "693")</f>
      </c>
      <c r="B65" s="4" t="s">
        <f>=HYPERLINK("https://www.leilaoonline.net/lote/detalhe/128588", " GOV-018-2022 - 1 GUINDASTE FRIED KRUPP - 2 VAGÕES PNB - GOVERNADOR VALADARES/ MINAS GERAIS")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250.000,00</t>
        </is>
      </c>
      <c r="F65" s="4" t="inlineStr">
        <is>
          <t>10000.00</t>
        </is>
      </c>
    </row>
    <row collapsed="false" customFormat="false" customHeight="false" hidden="false" ht="12.1" outlineLevel="0" r="66">
      <c r="A66" s="5" t="s">
        <f>=HYPERLINK("https://www.leilaoonline.net/lote/detalhe/128587", "694")</f>
      </c>
      <c r="B66" s="4" t="s">
        <f>=HYPERLINK("https://www.leilaoonline.net/lote/detalhe/128587", " GOV-029-2022 - LAVADORA E GERADOR DE SOLDA A DIESEL, BOBCAT 250 CC/CV - AC - GOVERNADOR VALADARES/ MINAS GERAIS")</f>
      </c>
      <c r="C66" s="4" t="inlineStr">
        <is>
          <t>Vendido</t>
        </is>
      </c>
      <c r="D66" s="4" t="inlineStr">
        <is>
          <t>11</t>
        </is>
      </c>
      <c r="E66" s="5" t="inlineStr">
        <is>
          <t>9.000,00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=HYPERLINK("https://www.leilaoonline.net/lote/detalhe/128581", "695")</f>
      </c>
      <c r="B67" s="4" t="s">
        <f>=HYPERLINK("https://www.leilaoonline.net/lote/detalhe/128581", " GOV-130-2021 - MÁQUINA DE SOLDA MARCA LYNUS MODELO: MMA IGBT 130A - GOVERNADOR VALADARES/ MINAS GERAIS")</f>
      </c>
      <c r="C67" s="4" t="inlineStr">
        <is>
          <t>Vendido</t>
        </is>
      </c>
      <c r="D67" s="4" t="inlineStr">
        <is>
          <t>1</t>
        </is>
      </c>
      <c r="E67" s="5" t="inlineStr">
        <is>
          <t>600,00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=HYPERLINK("https://www.leilaoonline.net/lote/detalhe/128598", "696")</f>
      </c>
      <c r="B68" s="4" t="s">
        <f>=HYPERLINK("https://www.leilaoonline.net/lote/detalhe/128598", " GOV-133-2021 - 2 MÁQUINAS DE SOLDA MARCA ESAB MODELOS: HANDYARC 130I E BANTAM BRASIL 250 - GOVERNADOR VALADARES/ MINAS GERAIS")</f>
      </c>
      <c r="C68" s="4" t="inlineStr">
        <is>
          <t>Vendido</t>
        </is>
      </c>
      <c r="D68" s="4" t="inlineStr">
        <is>
          <t>5</t>
        </is>
      </c>
      <c r="E68" s="5" t="inlineStr">
        <is>
          <t>1.700,00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=HYPERLINK("https://www.leilaoonline.net/lote/detalhe/128596", "697")</f>
      </c>
      <c r="B69" s="4" t="s">
        <f>=HYPERLINK("https://www.leilaoonline.net/lote/detalhe/128596", " GOV-136-2021 - MOTO SERRA E MÁQUINA MULTIFUNCIONAL STHIL MIW.3 - GOVERNADORS VALADARES/ MINAS GERAIS")</f>
      </c>
      <c r="C69" s="4" t="inlineStr">
        <is>
          <t>Vendido</t>
        </is>
      </c>
      <c r="D69" s="4" t="inlineStr">
        <is>
          <t>1</t>
        </is>
      </c>
      <c r="E69" s="5" t="inlineStr">
        <is>
          <t>1.000,00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=HYPERLINK("https://www.leilaoonline.net/lote/detalhe/128597", "698")</f>
      </c>
      <c r="B70" s="4" t="s">
        <f>=HYPERLINK("https://www.leilaoonline.net/lote/detalhe/128597", " GOV-137-2021 - ESMERILHADEIRA DE TRILHO - GOVERNADORS VALADARES/ MINAS GERAIS")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=HYPERLINK("https://www.leilaoonline.net/lote/detalhe/128599", "699")</f>
      </c>
      <c r="B71" s="4" t="s">
        <f>=HYPERLINK("https://www.leilaoonline.net/lote/detalhe/128599", " GOV-142-2021 - 4 GERADORES - 1 66KVA, 1 GEISMAR E 2 7.5 KVA HONDA - GOVERNADORS VALADARES/ MINAS GERAIS")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=HYPERLINK("https://www.leilaoonline.net/lote/detalhe/128595", "701")</f>
      </c>
      <c r="B72" s="4" t="s">
        <f>=HYPERLINK("https://www.leilaoonline.net/lote/detalhe/128595", " ITA-003-2022 - IPHONE 8 - ITABIRA/ MINAS GERAIS")</f>
      </c>
      <c r="C72" s="4" t="inlineStr">
        <is>
          <t>Não vendido</t>
        </is>
      </c>
      <c r="D72" s="4" t="inlineStr">
        <is>
          <t>3</t>
        </is>
      </c>
      <c r="E72" s="5" t="inlineStr">
        <is>
          <t>700,00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=HYPERLINK("https://www.leilaoonline.net/lote/detalhe/128580", "702")</f>
      </c>
      <c r="B73" s="4" t="s">
        <f>=HYPERLINK("https://www.leilaoonline.net/lote/detalhe/128580", " ITA-007-2022 - MAQUINA DE SOLDA E DESSOLDA WR 2 - 300W/WELLER - ITABIRA / MINAS GERAIS")</f>
      </c>
      <c r="C73" s="4" t="inlineStr">
        <is>
          <t>Vendido</t>
        </is>
      </c>
      <c r="D73" s="4" t="inlineStr">
        <is>
          <t>1</t>
        </is>
      </c>
      <c r="E73" s="5" t="inlineStr">
        <is>
          <t>1.000,00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=HYPERLINK("https://www.leilaoonline.net/lote/detalhe/128600", "703")</f>
      </c>
      <c r="B74" s="4" t="s">
        <f>=HYPERLINK("https://www.leilaoonline.net/lote/detalhe/128600", " ITA-027-2022 - PLATAFORMA ELEVATORIA - ITABIRA/ MINAS GERAIS")</f>
      </c>
      <c r="C74" s="4" t="inlineStr">
        <is>
          <t>Não vendido</t>
        </is>
      </c>
      <c r="D74" s="4" t="inlineStr">
        <is>
          <t>5</t>
        </is>
      </c>
      <c r="E74" s="5" t="inlineStr">
        <is>
          <t>9.000,00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=HYPERLINK("https://www.leilaoonline.net/lote/detalhe/128586", "704")</f>
      </c>
      <c r="B75" s="4" t="s">
        <f>=HYPERLINK("https://www.leilaoonline.net/lote/detalhe/128586", " ITA-030-2022 - CAMINHÃO 8x4 VOLVO FM12 420 2006 - ITABIRA/ MINAS GERAIS")</f>
      </c>
      <c r="C75" s="4" t="inlineStr">
        <is>
          <t>Vendido</t>
        </is>
      </c>
      <c r="D75" s="4" t="inlineStr">
        <is>
          <t>18</t>
        </is>
      </c>
      <c r="E75" s="5" t="inlineStr">
        <is>
          <t>56.000,00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=HYPERLINK("https://www.leilaoonline.net/lote/detalhe/128593", "706")</f>
      </c>
      <c r="B76" s="4" t="s">
        <f>=HYPERLINK("https://www.leilaoonline.net/lote/detalhe/128593", " ITA-079-2021 - DESCASCADOR DE LEGUMES;ROBUSTA 500 - B6430;HOBAR - ITABIRA/ MINAS GERAIS")</f>
      </c>
      <c r="C76" s="4" t="inlineStr">
        <is>
          <t>Não vendido</t>
        </is>
      </c>
      <c r="D76" s="4" t="inlineStr">
        <is>
          <t>10</t>
        </is>
      </c>
      <c r="E76" s="5" t="inlineStr">
        <is>
          <t>1.000,00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=HYPERLINK("https://www.leilaoonline.net/lote/detalhe/128592", "707")</f>
      </c>
      <c r="B77" s="4" t="s">
        <f>=HYPERLINK("https://www.leilaoonline.net/lote/detalhe/128592", " MCR-037-2022 - CAMINHÃO BASCULANTE SCANIA 10x4 480 2014 - CORUMBÁ/ MATO GROSSO DO SUL")</f>
      </c>
      <c r="C77" s="4" t="inlineStr">
        <is>
          <t>Não vendido</t>
        </is>
      </c>
      <c r="D77" s="4" t="inlineStr">
        <is>
          <t>49</t>
        </is>
      </c>
      <c r="E77" s="5" t="inlineStr">
        <is>
          <t>126.000,00</t>
        </is>
      </c>
      <c r="F77" s="4" t="inlineStr">
        <is>
          <t>2000.00</t>
        </is>
      </c>
    </row>
    <row collapsed="false" customFormat="false" customHeight="false" hidden="false" ht="12.1" outlineLevel="0" r="78">
      <c r="A78" s="5" t="s">
        <f>=HYPERLINK("https://www.leilaoonline.net/lote/detalhe/128601", "708")</f>
      </c>
      <c r="B78" s="4" t="s">
        <f>=HYPERLINK("https://www.leilaoonline.net/lote/detalhe/128601", " MCR-038-2022 - CAMINHÃO BASCULANTE SCANIA 10x4 480 2014 - CORUMBÁ/ MATO GROSSO DO SUL")</f>
      </c>
      <c r="C78" s="4" t="inlineStr">
        <is>
          <t>Não vendido</t>
        </is>
      </c>
      <c r="D78" s="4" t="inlineStr">
        <is>
          <t>45</t>
        </is>
      </c>
      <c r="E78" s="5" t="inlineStr">
        <is>
          <t>108.000,00</t>
        </is>
      </c>
      <c r="F78" s="4" t="inlineStr">
        <is>
          <t>2000.00</t>
        </is>
      </c>
    </row>
    <row collapsed="false" customFormat="false" customHeight="false" hidden="false" ht="12.1" outlineLevel="0" r="79">
      <c r="A79" s="5" t="s">
        <f>=HYPERLINK("https://www.leilaoonline.net/lote/detalhe/128602", "709")</f>
      </c>
      <c r="B79" s="4" t="s">
        <f>=HYPERLINK("https://www.leilaoonline.net/lote/detalhe/128602", " MCR-068-2021 - ELEVACAR HIDRAULICO DE COLUNA CAPACIDADE 7200 - CORUMBÁ/ MATO GROSSO DO SUL")</f>
      </c>
      <c r="C79" s="4" t="inlineStr">
        <is>
          <t>Vendido</t>
        </is>
      </c>
      <c r="D79" s="4" t="inlineStr">
        <is>
          <t>6</t>
        </is>
      </c>
      <c r="E79" s="5" t="inlineStr">
        <is>
          <t>7.000,00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=HYPERLINK("https://www.leilaoonline.net/lote/detalhe/128603", "710")</f>
      </c>
      <c r="B80" s="4" t="s">
        <f>=HYPERLINK("https://www.leilaoonline.net/lote/detalhe/128603", " OIA-007-2022 - GRUPO GERADOR - ALTERNADOR SÍNCRONO SCANIA DC12 41 A01 - OURILÂNDIA DO NORTE/ PA")</f>
      </c>
      <c r="C80" s="4" t="inlineStr">
        <is>
          <t>Vendido</t>
        </is>
      </c>
      <c r="D80" s="4" t="inlineStr">
        <is>
          <t>6</t>
        </is>
      </c>
      <c r="E80" s="5" t="inlineStr">
        <is>
          <t>35.000,00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=HYPERLINK("https://www.leilaoonline.net/lote/detalhe/128605", "711")</f>
      </c>
      <c r="B81" s="4" t="s">
        <f>=HYPERLINK("https://www.leilaoonline.net/lote/detalhe/128605", " OIA-008 - 2022 - GERADOR BAMBOZZI SOLDAS - TIPO TN 5 B /56 R.P.M 1800 - AMPERAGEM: 40 - 375 EFICIÊNCIA 60% - 300 - OURILÂNDIA DO NORTE - PA")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=HYPERLINK("https://www.leilaoonline.net/lote/detalhe/128604", "712")</f>
      </c>
      <c r="B82" s="4" t="s">
        <f>=HYPERLINK("https://www.leilaoonline.net/lote/detalhe/128604", " PIC-318-2021 - CAMINHÃO VOLKSWAGEN GUINDAUTO 15180 4x2 2005 - ITABIRITO/MINAS GERAIS")</f>
      </c>
      <c r="C82" s="4" t="inlineStr">
        <is>
          <t>Vendido</t>
        </is>
      </c>
      <c r="D82" s="4" t="inlineStr">
        <is>
          <t>48</t>
        </is>
      </c>
      <c r="E82" s="5" t="inlineStr">
        <is>
          <t>154.000,00</t>
        </is>
      </c>
      <c r="F82" s="4" t="inlineStr">
        <is>
          <t>2000.00</t>
        </is>
      </c>
    </row>
    <row collapsed="false" customFormat="false" customHeight="false" hidden="false" ht="12.1" outlineLevel="0" r="83">
      <c r="A83" s="5" t="s">
        <f>=HYPERLINK("https://www.leilaoonline.net/lote/detalhe/128606", "713")</f>
      </c>
      <c r="B83" s="4" t="s">
        <f>=HYPERLINK("https://www.leilaoonline.net/lote/detalhe/128606", " PIC-344-2021 - 11 DISPERSORES 2E 813101 DORR OLIVER - ITABIRITO/ MINAS GERAIS")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2.500,00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=HYPERLINK("https://www.leilaoonline.net/lote/detalhe/128607", "714")</f>
      </c>
      <c r="B84" s="4" t="s">
        <f>=HYPERLINK("https://www.leilaoonline.net/lote/detalhe/128607", " RJ - 001-2022 - CARRO HYUNDAI AZERA 3.3 V6 2010 - RIO DE JANEIRO/ RJ")</f>
      </c>
      <c r="C84" s="4" t="inlineStr">
        <is>
          <t>Não vendido</t>
        </is>
      </c>
      <c r="D84" s="4" t="inlineStr">
        <is>
          <t>6</t>
        </is>
      </c>
      <c r="E84" s="5" t="inlineStr">
        <is>
          <t>28.000,00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=HYPERLINK("https://www.leilaoonline.net/lote/detalhe/128609", "715")</f>
      </c>
      <c r="B85" s="4" t="s">
        <f>=HYPERLINK("https://www.leilaoonline.net/lote/detalhe/128609", " S11D-004-2022 - AQUECEDOR TIH 220M/LV SKF 2016 - CANAÃ DOS CARAJÁS/ PARÁ")</f>
      </c>
      <c r="C85" s="4" t="inlineStr">
        <is>
          <t>Vendido</t>
        </is>
      </c>
      <c r="D85" s="4" t="inlineStr">
        <is>
          <t>4</t>
        </is>
      </c>
      <c r="E85" s="5" t="inlineStr">
        <is>
          <t>2.510,00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=HYPERLINK("https://www.leilaoonline.net/lote/detalhe/128608", "716")</f>
      </c>
      <c r="B86" s="4" t="s">
        <f>=HYPERLINK("https://www.leilaoonline.net/lote/detalhe/128608", " SFH-GSB6I83-2021 - CAMINHÃO MERCEDES BENZ ACTROS 4844K 8X4 2009 - SIMÕES FILHO/ BAHIA")</f>
      </c>
      <c r="C86" s="4" t="inlineStr">
        <is>
          <t>Vendido</t>
        </is>
      </c>
      <c r="D86" s="4" t="inlineStr">
        <is>
          <t>38</t>
        </is>
      </c>
      <c r="E86" s="5" t="inlineStr">
        <is>
          <t>73.000,00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=HYPERLINK("https://www.leilaoonline.net/lote/detalhe/128611", "718")</f>
      </c>
      <c r="B87" s="4" t="s">
        <f>=HYPERLINK("https://www.leilaoonline.net/lote/detalhe/128611", " SSG-011-2021-PEM02 - PLATAFORMA ELEVATÓRIA GENIE Z 60/34 2005 - CANAÃ DO CARAJÁS/ PARÁ")</f>
      </c>
      <c r="C87" s="4" t="inlineStr">
        <is>
          <t>Não vendido</t>
        </is>
      </c>
      <c r="D87" s="4" t="inlineStr">
        <is>
          <t>64</t>
        </is>
      </c>
      <c r="E87" s="5" t="inlineStr">
        <is>
          <t>93.000,00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=HYPERLINK("https://www.leilaoonline.net/lote/detalhe/128612", "719")</f>
      </c>
      <c r="B88" s="4" t="s">
        <f>=HYPERLINK("https://www.leilaoonline.net/lote/detalhe/128612", " SSG-014-2022-MP01 - MINI CARREGADEIRA CATERPILLAR 226B 2005 - CANAÃ DO CARAJÁS/ PARÁ")</f>
      </c>
      <c r="C88" s="4" t="inlineStr">
        <is>
          <t>Vendido</t>
        </is>
      </c>
      <c r="D88" s="4" t="inlineStr">
        <is>
          <t>18</t>
        </is>
      </c>
      <c r="E88" s="5" t="inlineStr">
        <is>
          <t>23.000,00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=HYPERLINK("https://www.leilaoonline.net/lote/detalhe/128613", "720")</f>
      </c>
      <c r="B89" s="4" t="s">
        <f>=HYPERLINK("https://www.leilaoonline.net/lote/detalhe/128613", " SSG-015-2022 - ES3501 - ESCAVADEIRA PH 2300XPA 2004 - CANAÃ DO CARAJÁS/ PARÁ")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40.000,00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=HYPERLINK("https://www.leilaoonline.net/lote/detalhe/128615", "721")</f>
      </c>
      <c r="B90" s="4" t="s">
        <f>=HYPERLINK("https://www.leilaoonline.net/lote/detalhe/128615", " SSG-016-2022 - PF2106 - PERFURATRIZ BUCYRUS 49HR(MD6640) 2007 - CANAÃ DOS CARAJÁS/ PARÁ")</f>
      </c>
      <c r="C90" s="4" t="inlineStr">
        <is>
          <t>Não vendido</t>
        </is>
      </c>
      <c r="D90" s="4" t="inlineStr">
        <is>
          <t>68</t>
        </is>
      </c>
      <c r="E90" s="5" t="inlineStr">
        <is>
          <t>126.000,00</t>
        </is>
      </c>
      <c r="F90" s="4" t="inlineStr">
        <is>
          <t>2000.00</t>
        </is>
      </c>
    </row>
    <row collapsed="false" customFormat="false" customHeight="false" hidden="false" ht="12.1" outlineLevel="0" r="91">
      <c r="A91" s="5" t="s">
        <f>=HYPERLINK("https://www.leilaoonline.net/lote/detalhe/128614", "722")</f>
      </c>
      <c r="B91" s="4" t="s">
        <f>=HYPERLINK("https://www.leilaoonline.net/lote/detalhe/128614", " SSG-034-2021 - TORRE DE ILUMINAÇÃO ATLAS COPCO QLT - CANAÃ DOS CARAJÁS/ PARÁ")</f>
      </c>
      <c r="C91" s="4" t="inlineStr">
        <is>
          <t>Não vendido</t>
        </is>
      </c>
      <c r="D91" s="4" t="inlineStr">
        <is>
          <t>6</t>
        </is>
      </c>
      <c r="E91" s="5" t="inlineStr">
        <is>
          <t>3.500,00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=HYPERLINK("https://www.leilaoonline.net/lote/detalhe/128750", "723")</f>
      </c>
      <c r="B92" s="4" t="s">
        <f>=HYPERLINK("https://www.leilaoonline.net/lote/detalhe/128750", "ACA-EQ-002-2022 - GERADOR  - LOC. AÇAILANDIA/MA")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15.000,00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=HYPERLINK("https://www.leilaoonline.net/lote/detalhe/128764", "750")</f>
      </c>
      <c r="B93" s="4" t="s">
        <f>=HYPERLINK("https://www.leilaoonline.net/lote/detalhe/128764", " ACA-EQ-003-2022- 04 ITENS, MOTO SERRA STHILL MS 650 - 2008 -1R16800- VEJA DESCRITIVO DE ITENS - LOC. Açailândia - MA ")</f>
      </c>
      <c r="C93" s="4" t="inlineStr">
        <is>
          <t>Não vendido</t>
        </is>
      </c>
      <c r="D93" s="4" t="inlineStr">
        <is>
          <t>23</t>
        </is>
      </c>
      <c r="E93" s="5" t="inlineStr">
        <is>
          <t>2.700,00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=HYPERLINK("https://www.leilaoonline.net/lote/detalhe/128765", "751")</f>
      </c>
      <c r="B94" s="4" t="s">
        <f>=HYPERLINK("https://www.leilaoonline.net/lote/detalhe/128765", " ACA-MRO-003-2022- 718 ITENS, COMPENSADOR, BUCHAS COMPONENTES, POLIA E OUTROS -VEJA DESCRITIVO DE ITENS - LOC.Açailândia - MA")</f>
      </c>
      <c r="C94" s="4" t="inlineStr">
        <is>
          <t>Vendido</t>
        </is>
      </c>
      <c r="D94" s="4" t="inlineStr">
        <is>
          <t>2</t>
        </is>
      </c>
      <c r="E94" s="5" t="inlineStr">
        <is>
          <t>1.448,00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=HYPERLINK("https://www.leilaoonline.net/lote/detalhe/128769", "752")</f>
      </c>
      <c r="B95" s="4" t="s">
        <f>=HYPERLINK("https://www.leilaoonline.net/lote/detalhe/128769", " ACA-MRO-004-2022- APROX. 93.213, MASCARA RESPIRADORA TECIDO, LOC.Açailândia - MA")</f>
      </c>
      <c r="C95" s="4" t="inlineStr">
        <is>
          <t>Não vendido</t>
        </is>
      </c>
      <c r="D95" s="4" t="inlineStr">
        <is>
          <t>2</t>
        </is>
      </c>
      <c r="E95" s="5" t="inlineStr">
        <is>
          <t>600,00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=HYPERLINK("https://www.leilaoonline.net/lote/detalhe/128766", "753")</f>
      </c>
      <c r="B96" s="4" t="s">
        <f>=HYPERLINK("https://www.leilaoonline.net/lote/detalhe/128766", " ACA-MRO-005-2022- 41 ITENS, CORREIAS, PINOS, BUCHAS, VEJA DESCRITIVO DE ITENS- LOC.Açailândia- MA 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500,00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=HYPERLINK("https://www.leilaoonline.net/lote/detalhe/128781", "754")</f>
      </c>
      <c r="B97" s="4" t="s">
        <f>=HYPERLINK("https://www.leilaoonline.net/lote/detalhe/128781", " CD-029-2022- 672.197 ITENS, MASCARAS RESPIRATORIAS TECIDO, LOC. Barão de Cocais/Minas Gerais")</f>
      </c>
      <c r="C97" s="4" t="inlineStr">
        <is>
          <t>Não vendido</t>
        </is>
      </c>
      <c r="D97" s="4" t="inlineStr">
        <is>
          <t>2</t>
        </is>
      </c>
      <c r="E97" s="5" t="inlineStr">
        <is>
          <t>604,00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=HYPERLINK("https://www.leilaoonline.net/lote/detalhe/128773", "755")</f>
      </c>
      <c r="B98" s="4" t="s">
        <f>=HYPERLINK("https://www.leilaoonline.net/lote/detalhe/128773", " CD-033-2022- 925 ITENS, MANGUEIRAS, ROLAMENTO, PORCA E OUTROS -VEJA DESCRITIVO DE ITENS- LOC.Barão de Cocais/Minas Gerais")</f>
      </c>
      <c r="C98" s="4" t="inlineStr">
        <is>
          <t>Não vendido</t>
        </is>
      </c>
      <c r="D98" s="4" t="inlineStr">
        <is>
          <t>58</t>
        </is>
      </c>
      <c r="E98" s="5" t="inlineStr">
        <is>
          <t>19.850,00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=HYPERLINK("https://www.leilaoonline.net/lote/detalhe/128784", "756")</f>
      </c>
      <c r="B99" s="4" t="s">
        <f>=HYPERLINK("https://www.leilaoonline.net/lote/detalhe/128784", " CD-035-2022- 247 ITENS, ROTOR, EIXO COMPONENTE, CHAPA E OUTROS -VEJA DESCRITIVO DE ITENS- LOC.Barão de Cocais/Minas Gerais")</f>
      </c>
      <c r="C99" s="4" t="inlineStr">
        <is>
          <t>Não vendido</t>
        </is>
      </c>
      <c r="D99" s="4" t="inlineStr">
        <is>
          <t>20</t>
        </is>
      </c>
      <c r="E99" s="5" t="inlineStr">
        <is>
          <t>4.550,00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=HYPERLINK("https://www.leilaoonline.net/lote/detalhe/128783", "757")</f>
      </c>
      <c r="B100" s="4" t="s">
        <f>=HYPERLINK("https://www.leilaoonline.net/lote/detalhe/128783", " CKS-ATI-030-2022- 16 ITENS,MEGOMETRO, MARTELO ROMPEDOR  E OUTROS -VEJA DESCRITIVO DE ITENS- LOC.PARAUAPEBAS - PARÁ  ")</f>
      </c>
      <c r="C100" s="4" t="inlineStr">
        <is>
          <t>Vendido</t>
        </is>
      </c>
      <c r="D100" s="4" t="inlineStr">
        <is>
          <t>30</t>
        </is>
      </c>
      <c r="E100" s="5" t="inlineStr">
        <is>
          <t>4.450,00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=HYPERLINK("https://www.leilaoonline.net/lote/detalhe/128776", "758")</f>
      </c>
      <c r="B101" s="4" t="s">
        <f>=HYPERLINK("https://www.leilaoonline.net/lote/detalhe/128776", " CKS-ATI-031-2022- 02 LAVADORAS DE LOUÇAS, LOC. PARAUAPEBAS - PARÁ")</f>
      </c>
      <c r="C101" s="4" t="inlineStr">
        <is>
          <t>Vendido</t>
        </is>
      </c>
      <c r="D101" s="4" t="inlineStr">
        <is>
          <t>1</t>
        </is>
      </c>
      <c r="E101" s="5" t="inlineStr">
        <is>
          <t>500,00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=HYPERLINK("https://www.leilaoonline.net/lote/detalhe/128780", "759")</f>
      </c>
      <c r="B102" s="4" t="s">
        <f>=HYPERLINK("https://www.leilaoonline.net/lote/detalhe/128780", " CKS-ATI-039-2022- 04 MODULO GUARITA C/ BANHEIRO TECNOMODULO, VEJA DESCRITIVO DE ITENS- LOC.PARAUAPEBAS - PARÁ  ")</f>
      </c>
      <c r="C102" s="4" t="inlineStr">
        <is>
          <t>Vendido</t>
        </is>
      </c>
      <c r="D102" s="4" t="inlineStr">
        <is>
          <t>2</t>
        </is>
      </c>
      <c r="E102" s="5" t="inlineStr">
        <is>
          <t>600,00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=HYPERLINK("https://www.leilaoonline.net/lote/detalhe/128768", "760")</f>
      </c>
      <c r="B103" s="4" t="s">
        <f>=HYPERLINK("https://www.leilaoonline.net/lote/detalhe/128768", " CKS-ATI-051-2022- 03 TORRE DE ILUMINACAO SOBRE RODAS INGERSOLL RAND L  - TI 38- ANO 2006,VEJA DESCRITIVO DE ITENS- LOC.PARAUAPEBAS - PARÁ  ")</f>
      </c>
      <c r="C103" s="4" t="inlineStr">
        <is>
          <t>Vendido</t>
        </is>
      </c>
      <c r="D103" s="4" t="inlineStr">
        <is>
          <t>16</t>
        </is>
      </c>
      <c r="E103" s="5" t="inlineStr">
        <is>
          <t>4.450,00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=HYPERLINK("https://www.leilaoonline.net/lote/detalhe/128767", "761")</f>
      </c>
      <c r="B104" s="4" t="s">
        <f>=HYPERLINK("https://www.leilaoonline.net/lote/detalhe/128767", " CKS-ATI-055-2022- 03 CONDICIONADOR DE AR DIVERSOS- VEJA DESCRITIVO DE ITENS- LOC.CARAJÁS-PA")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=HYPERLINK("https://www.leilaoonline.net/lote/detalhe/128775", "763")</f>
      </c>
      <c r="B105" s="4" t="s">
        <f>=HYPERLINK("https://www.leilaoonline.net/lote/detalhe/128775", " CKS-MRO-008-2022- 14 ITENS, PARAFUSOS, KIT REVISÃO E OUTROS-VEJA DESCRITIVO DE ITENS- LOC.CARAJÁS - PARÁ")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=HYPERLINK("https://www.leilaoonline.net/lote/detalhe/128779", "764")</f>
      </c>
      <c r="B106" s="4" t="s">
        <f>=HYPERLINK("https://www.leilaoonline.net/lote/detalhe/128779", " CKS-MRO-009-2022- 156 ITENS, ABRACADEIRA, FUSIVEL,DISJUNTOR E OUTROS-VEJA DESCRITIVO DE ITENS- LOC.CARAJÁS - PARÁ")</f>
      </c>
      <c r="C106" s="4" t="inlineStr">
        <is>
          <t>Vendido</t>
        </is>
      </c>
      <c r="D106" s="4" t="inlineStr">
        <is>
          <t>2</t>
        </is>
      </c>
      <c r="E106" s="5" t="inlineStr">
        <is>
          <t>555,00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=HYPERLINK("https://www.leilaoonline.net/lote/detalhe/128778", "765")</f>
      </c>
      <c r="B107" s="4" t="s">
        <f>=HYPERLINK("https://www.leilaoonline.net/lote/detalhe/128778", " CKS-MRO-010-2022- 23 ITENS, GRAMPO, ANEL, PARAFUSO  E OUTROS-VEJA DESCRITIVO DE ITENS- LOC.CARAJÁS - PARÁ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=HYPERLINK("https://www.leilaoonline.net/lote/detalhe/128774", "766")</f>
      </c>
      <c r="B108" s="4" t="s">
        <f>=HYPERLINK("https://www.leilaoonline.net/lote/detalhe/128774", " CKS-MRO-011-2022- 08 ROLAMENTO ESF 13100901 KSB, LOC.CARAJÁS - PARÁ ")</f>
      </c>
      <c r="C108" s="4" t="inlineStr">
        <is>
          <t>Não vendido</t>
        </is>
      </c>
      <c r="D108" s="4" t="inlineStr">
        <is>
          <t>6</t>
        </is>
      </c>
      <c r="E108" s="5" t="inlineStr">
        <is>
          <t>2.200,00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=HYPERLINK("https://www.leilaoonline.net/lote/detalhe/128770", "767")</f>
      </c>
      <c r="B109" s="4" t="s">
        <f>=HYPERLINK("https://www.leilaoonline.net/lote/detalhe/128770", " CKS-MRO-024-2022- 179 ITENS, EIXO, RETENTOR, ADAPTADOR  E OUTROS-VEJA DESCRITIVO DE ITENS- LOC.CARAJÁS - PARÁ ")</f>
      </c>
      <c r="C109" s="4" t="inlineStr">
        <is>
          <t>Não vendido</t>
        </is>
      </c>
      <c r="D109" s="4" t="inlineStr">
        <is>
          <t>13</t>
        </is>
      </c>
      <c r="E109" s="5" t="inlineStr">
        <is>
          <t>2.100,00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=HYPERLINK("https://www.leilaoonline.net/lote/detalhe/128772", "768")</f>
      </c>
      <c r="B110" s="4" t="s">
        <f>=HYPERLINK("https://www.leilaoonline.net/lote/detalhe/128772", " CKS-MRO-054-2022- 1.526,661 ITENS, MASCARA RESPIRADORA TECIDO - MODELOS E CORES DIVERSOS, LOC.CARAJÁS - PARÁ ")</f>
      </c>
      <c r="C110" s="4" t="inlineStr">
        <is>
          <t>Não vendido</t>
        </is>
      </c>
      <c r="D110" s="4" t="inlineStr">
        <is>
          <t>3</t>
        </is>
      </c>
      <c r="E110" s="5" t="inlineStr">
        <is>
          <t>704,00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=HYPERLINK("https://www.leilaoonline.net/lote/detalhe/128777", "769")</f>
      </c>
      <c r="B111" s="4" t="s">
        <f>=HYPERLINK("https://www.leilaoonline.net/lote/detalhe/128777", " CKS-MRO-059-2022- 16 MASCARA RESPIRADORA TECIDO U, CARAJÁS - PA")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=HYPERLINK("https://www.leilaoonline.net/lote/detalhe/128782", "770")</f>
      </c>
      <c r="B112" s="4" t="s">
        <f>=HYPERLINK("https://www.leilaoonline.net/lote/detalhe/128782", " CKS-MRO-062-2022- 17 ITENS,BOMBA COMPONENTE, BOMBAS, HASTE E OUTROS-VEJA DESCRITIVO DE ITENS- LOC.CARAJÁS - PARÁ ")</f>
      </c>
      <c r="C112" s="4" t="inlineStr">
        <is>
          <t>Vendido</t>
        </is>
      </c>
      <c r="D112" s="4" t="inlineStr">
        <is>
          <t>36</t>
        </is>
      </c>
      <c r="E112" s="5" t="inlineStr">
        <is>
          <t>7.155,00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=HYPERLINK("https://www.leilaoonline.net/lote/detalhe/128786", "771")</f>
      </c>
      <c r="B113" s="4" t="s">
        <f>=HYPERLINK("https://www.leilaoonline.net/lote/detalhe/128786", " CKS-MRO-077-2022- 41 ITENS, VENTOINHA, BOMBA, CILINDROS E OUTROS-VEJA DESCRITIVO DE ITENS- LOC.CARAJÁS - PARÁ ")</f>
      </c>
      <c r="C113" s="4" t="inlineStr">
        <is>
          <t>Vendido</t>
        </is>
      </c>
      <c r="D113" s="4" t="inlineStr">
        <is>
          <t>62</t>
        </is>
      </c>
      <c r="E113" s="5" t="inlineStr">
        <is>
          <t>40.600,00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=HYPERLINK("https://www.leilaoonline.net/lote/detalhe/128785", "772")</f>
      </c>
      <c r="B114" s="4" t="s">
        <f>=HYPERLINK("https://www.leilaoonline.net/lote/detalhe/128785", " CKS-MRO-079-2022- 36 ITENS, CAIXA ENGRENAGEM, TAMBOR, CABO E OUTROS-VEJA DESCRITIVO DE ITENS- LOC.CARAJÁS - PARÁ ")</f>
      </c>
      <c r="C114" s="4" t="inlineStr">
        <is>
          <t>Não vendido</t>
        </is>
      </c>
      <c r="D114" s="4" t="inlineStr">
        <is>
          <t>40</t>
        </is>
      </c>
      <c r="E114" s="5" t="inlineStr">
        <is>
          <t>36.000,00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=HYPERLINK("https://www.leilaoonline.net/lote/detalhe/128787", "773")</f>
      </c>
      <c r="B115" s="4" t="s">
        <f>=HYPERLINK("https://www.leilaoonline.net/lote/detalhe/128787", " CKS-MRO-080-2022- 21 ITENS, COMANDO FINAL, CILINDRO DIRECAO E OUTROS-VEJA DESCRITIVO DE ITENS- LOC.CARAJÁS - PARÁ ")</f>
      </c>
      <c r="C115" s="4" t="inlineStr">
        <is>
          <t>Vendido</t>
        </is>
      </c>
      <c r="D115" s="4" t="inlineStr">
        <is>
          <t>43</t>
        </is>
      </c>
      <c r="E115" s="5" t="inlineStr">
        <is>
          <t>271.000,00</t>
        </is>
      </c>
      <c r="F115" s="4" t="inlineStr">
        <is>
          <t>2000.00</t>
        </is>
      </c>
    </row>
    <row collapsed="false" customFormat="false" customHeight="false" hidden="false" ht="12.1" outlineLevel="0" r="116">
      <c r="A116" s="5" t="s">
        <f>=HYPERLINK("https://www.leilaoonline.net/lote/detalhe/128788", "774")</f>
      </c>
      <c r="B116" s="4" t="s">
        <f>=HYPERLINK("https://www.leilaoonline.net/lote/detalhe/128788", " CKS-MRO-081-2022- 37 ITENS, RADIADOR, GERADOR COMPONENTE, BOMBA E OUTROS-VEJA DESCRITIVO DE ITENS- LOC.CARAJÁS - PARÁ ")</f>
      </c>
      <c r="C116" s="4" t="inlineStr">
        <is>
          <t>Não vendido</t>
        </is>
      </c>
      <c r="D116" s="4" t="inlineStr">
        <is>
          <t>75</t>
        </is>
      </c>
      <c r="E116" s="5" t="inlineStr">
        <is>
          <t>85.000,00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=HYPERLINK("https://www.leilaoonline.net/lote/detalhe/128790", "775")</f>
      </c>
      <c r="B117" s="4" t="s">
        <f>=HYPERLINK("https://www.leilaoonline.net/lote/detalhe/128790", " CKS-MRO-082-2022- 11 ITENS, MOTOR CORRENTE, REPARO COMPONENTE  E OUTROS-VEJA DESCRITIVO DE ITENS- LOC.CARAJÁS - PARÁ ")</f>
      </c>
      <c r="C117" s="4" t="inlineStr">
        <is>
          <t>Não vendido</t>
        </is>
      </c>
      <c r="D117" s="4" t="inlineStr">
        <is>
          <t>34</t>
        </is>
      </c>
      <c r="E117" s="5" t="inlineStr">
        <is>
          <t>13.100,00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=HYPERLINK("https://www.leilaoonline.net/lote/detalhe/128789", "776")</f>
      </c>
      <c r="B118" s="4" t="s">
        <f>=HYPERLINK("https://www.leilaoonline.net/lote/detalhe/128789", " CKS-MRO-083-2022- 245 ITENS, ALARME INCENDIO, DETECTOR, ROLAMENTO  E OUTROS-VEJA DESCRITIVO DE ITENS- LOC.CARAJÁS - PARÁ ")</f>
      </c>
      <c r="C118" s="4" t="inlineStr">
        <is>
          <t>Vendido</t>
        </is>
      </c>
      <c r="D118" s="4" t="inlineStr">
        <is>
          <t>49</t>
        </is>
      </c>
      <c r="E118" s="5" t="inlineStr">
        <is>
          <t>20.600,00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=HYPERLINK("https://www.leilaoonline.net/lote/detalhe/128791", "777")</f>
      </c>
      <c r="B119" s="4" t="s">
        <f>=HYPERLINK("https://www.leilaoonline.net/lote/detalhe/128791", " CKS-MRO-084-2022- 209 ITENS, ISOLADOR COMPONENTE, DISJUNTOR, AMPLIFICADOR  E OUTROS-VEJA DESCRITIVO DE ITENS- LOC.CARAJÁS - PARÁ ")</f>
      </c>
      <c r="C119" s="4" t="inlineStr">
        <is>
          <t>Não vendido</t>
        </is>
      </c>
      <c r="D119" s="4" t="inlineStr">
        <is>
          <t>5</t>
        </is>
      </c>
      <c r="E119" s="5" t="inlineStr">
        <is>
          <t>1.850,00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=HYPERLINK("https://www.leilaoonline.net/lote/detalhe/128793", "778")</f>
      </c>
      <c r="B120" s="4" t="s">
        <f>=HYPERLINK("https://www.leilaoonline.net/lote/detalhe/128793", "CKS-MRO-063-2022- 21 ITENS, MODULO ELETRONICO PADRONIZADO, -VEJA DESCRITIVO DE ITENS- LOC.CARAJÁS - PARÁ ")</f>
      </c>
      <c r="C120" s="4" t="inlineStr">
        <is>
          <t>Não vendido</t>
        </is>
      </c>
      <c r="D120" s="4" t="inlineStr">
        <is>
          <t>20</t>
        </is>
      </c>
      <c r="E120" s="5" t="inlineStr">
        <is>
          <t>3.750,00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=HYPERLINK("https://www.leilaoonline.net/lote/detalhe/128794", "779")</f>
      </c>
      <c r="B121" s="4" t="s">
        <f>=HYPERLINK("https://www.leilaoonline.net/lote/detalhe/128794", "CKS-MRO-069-2022- 07 ITENS, RELE, MEDIDOR POTENTE  E OUTROS-VEJA DESCRITIVO DE ITENS- LOC.CARAJÁS - PARÁ ")</f>
      </c>
      <c r="C121" s="4" t="inlineStr">
        <is>
          <t>Não vendido</t>
        </is>
      </c>
      <c r="D121" s="4" t="inlineStr">
        <is>
          <t>3</t>
        </is>
      </c>
      <c r="E121" s="5" t="inlineStr">
        <is>
          <t>700,00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=HYPERLINK("https://www.leilaoonline.net/lote/detalhe/128795", "780")</f>
      </c>
      <c r="B122" s="4" t="s">
        <f>=HYPERLINK("https://www.leilaoonline.net/lote/detalhe/128795", "CKS-MRO-070-2022- 142 ITENS, ENGRENAGEM , MODULO ELETRONICO PADRONIZADO E OUTROS-VEJA DESCRITIVO DE ITENS- LOC.CARAJÁS - PARÁ ")</f>
      </c>
      <c r="C122" s="4" t="inlineStr">
        <is>
          <t>Não vendido</t>
        </is>
      </c>
      <c r="D122" s="4" t="inlineStr">
        <is>
          <t>24</t>
        </is>
      </c>
      <c r="E122" s="5" t="inlineStr">
        <is>
          <t>9.500,00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=HYPERLINK("https://www.leilaoonline.net/lote/detalhe/128796", "781")</f>
      </c>
      <c r="B123" s="4" t="s">
        <f>=HYPERLINK("https://www.leilaoonline.net/lote/detalhe/128796", "CKS-MRO-073-2022- 93 TURBINA COMPONENTE, VALVULA COMPONENTE E OUTROS-VEJA DESCRITIVO DE ITENS- LOC.CARAJÁS - PARÁ ")</f>
      </c>
      <c r="C123" s="4" t="inlineStr">
        <is>
          <t>Não vendido</t>
        </is>
      </c>
      <c r="D123" s="4" t="inlineStr">
        <is>
          <t>59</t>
        </is>
      </c>
      <c r="E123" s="5" t="inlineStr">
        <is>
          <t>15.850,00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=HYPERLINK("https://www.leilaoonline.net/lote/detalhe/128820", "782")</f>
      </c>
      <c r="B124" s="4" t="s">
        <f>=HYPERLINK("https://www.leilaoonline.net/lote/detalhe/128820", " 082-126-2022 - 9 ITENS - DINAMOMETRO, CHAVE DE IMPACTO E OUTROS, VEJA DESCRITIVO DE ITENS. - LOC. VITORIA/ES")</f>
      </c>
      <c r="C124" s="4" t="inlineStr">
        <is>
          <t>Vendido</t>
        </is>
      </c>
      <c r="D124" s="4" t="inlineStr">
        <is>
          <t>11</t>
        </is>
      </c>
      <c r="E124" s="5" t="inlineStr">
        <is>
          <t>2.200,00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=HYPERLINK("https://www.leilaoonline.net/lote/detalhe/128797", "783")</f>
      </c>
      <c r="B125" s="4" t="s">
        <f>=HYPERLINK("https://www.leilaoonline.net/lote/detalhe/128797", " 082-144-2022 - 116 ITENS - DISJUNTOR 630A TRIP, MOTOR CA 100L 440V 1,5CV, VEJA DESCRITIVO DE ITENS. - LOC. VITORIA/ES")</f>
      </c>
      <c r="C125" s="4" t="inlineStr">
        <is>
          <t>Vendido</t>
        </is>
      </c>
      <c r="D125" s="4" t="inlineStr">
        <is>
          <t>17</t>
        </is>
      </c>
      <c r="E125" s="5" t="inlineStr">
        <is>
          <t>15.657,00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=HYPERLINK("https://www.leilaoonline.net/lote/detalhe/128829", "784")</f>
      </c>
      <c r="B126" s="4" t="s">
        <f>=HYPERLINK("https://www.leilaoonline.net/lote/detalhe/128829", " 082-152-2022 - EIXO COMPONENTE; TIPO: FORJADO PEFIL; A - LOC: VITORIA/ES")</f>
      </c>
      <c r="C126" s="4" t="inlineStr">
        <is>
          <t>Vendido</t>
        </is>
      </c>
      <c r="D126" s="4" t="inlineStr">
        <is>
          <t>29</t>
        </is>
      </c>
      <c r="E126" s="5" t="inlineStr">
        <is>
          <t>6.850,00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=HYPERLINK("https://www.leilaoonline.net/lote/detalhe/128803", "785")</f>
      </c>
      <c r="B127" s="4" t="s">
        <f>=HYPERLINK("https://www.leilaoonline.net/lote/detalhe/128803", " 082-157-2022  - ENGRENAGEM DN013060205 IT A4 DESENHO VALE - LOC. VITORIA/ES")</f>
      </c>
      <c r="C127" s="4" t="inlineStr">
        <is>
          <t>Não vendido</t>
        </is>
      </c>
      <c r="D127" s="4" t="inlineStr">
        <is>
          <t>8</t>
        </is>
      </c>
      <c r="E127" s="5" t="inlineStr">
        <is>
          <t>1.200,00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=HYPERLINK("https://www.leilaoonline.net/lote/detalhe/128822", "786")</f>
      </c>
      <c r="B128" s="4" t="s">
        <f>=HYPERLINK("https://www.leilaoonline.net/lote/detalhe/128822", " 082-165-2022 - 1039 ITENS - DESCARGA 8360480 GM-EMD, PARAFUSO CAB. QUADRADA 16MM E OUTROS, VEJA DESCRITIVO DE ITENS - LOC. VITORIA/ES")</f>
      </c>
      <c r="C128" s="4" t="inlineStr">
        <is>
          <t>Vendido</t>
        </is>
      </c>
      <c r="D128" s="4" t="inlineStr">
        <is>
          <t>13</t>
        </is>
      </c>
      <c r="E128" s="5" t="inlineStr">
        <is>
          <t>1.700,00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=HYPERLINK("https://www.leilaoonline.net/lote/detalhe/128798", "787")</f>
      </c>
      <c r="B129" s="4" t="s">
        <f>=HYPERLINK("https://www.leilaoonline.net/lote/detalhe/128798", " 082-170-2022 - 390 ITENS - MANCAL COMPONENTE; APLICA 8320995 GM-EMD, CABO COMPONENTE; TIPO. ELET. 12X1PLASSER, E OUTROS, VEJA DESCRITIVO DE ITENS. - LOC VITORIA/ES")</f>
      </c>
      <c r="C129" s="4" t="inlineStr">
        <is>
          <t>Não vendido</t>
        </is>
      </c>
      <c r="D129" s="4" t="inlineStr">
        <is>
          <t>11</t>
        </is>
      </c>
      <c r="E129" s="5" t="inlineStr">
        <is>
          <t>1.500,00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=HYPERLINK("https://www.leilaoonline.net/lote/detalhe/128826", "788")</f>
      </c>
      <c r="B130" s="4" t="s">
        <f>=HYPERLINK("https://www.leilaoonline.net/lote/detalhe/128826", " 082-174-2022 - 400 ITENS. - ANEL 128X1023-1 GENERAL ELETRIC, ENGRENAGEM COMPONENTE; APL. 135X1045-2 GE, E OUTROS, VEJA DESCRITIVO DE ITENS - LOC. VITORIA/ES")</f>
      </c>
      <c r="C130" s="4" t="inlineStr">
        <is>
          <t>Não vendido</t>
        </is>
      </c>
      <c r="D130" s="4" t="inlineStr">
        <is>
          <t>1</t>
        </is>
      </c>
      <c r="E130" s="5" t="inlineStr">
        <is>
          <t>500,00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=HYPERLINK("https://www.leilaoonline.net/lote/detalhe/128815", "789")</f>
      </c>
      <c r="B131" s="4" t="s">
        <f>=HYPERLINK("https://www.leilaoonline.net/lote/detalhe/128815", " 082-185-2022 - 252 ITENS -  BOMBA INJET 132X1535 GENERAL ELETRIC, ROTOR COMPONENTE, APLICA; 5393039; E OUTROS, VEJA DESCRITIVO DE ITENS. - LOC. VITORIA/ES")</f>
      </c>
      <c r="C131" s="4" t="inlineStr">
        <is>
          <t>Não vendido</t>
        </is>
      </c>
      <c r="D131" s="4" t="inlineStr">
        <is>
          <t>41</t>
        </is>
      </c>
      <c r="E131" s="5" t="inlineStr">
        <is>
          <t>8.400,00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=HYPERLINK("https://www.leilaoonline.net/lote/detalhe/128832", "790")</f>
      </c>
      <c r="B132" s="4" t="s">
        <f>=HYPERLINK("https://www.leilaoonline.net/lote/detalhe/128832", " 082-186-2022 - 2650 ITENS - LIXA FOLHA 230X280MM P220 PAPEL LEVE, ARRUELA N405P52B13 GE; E OUTROS, VEJA DESCRITIVO DE ITENS. - LOC. VITORIA/ES")</f>
      </c>
      <c r="C132" s="4" t="inlineStr">
        <is>
          <t>Não vendido</t>
        </is>
      </c>
      <c r="D132" s="4" t="inlineStr">
        <is>
          <t>5</t>
        </is>
      </c>
      <c r="E132" s="5" t="inlineStr">
        <is>
          <t>900,00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=HYPERLINK("https://www.leilaoonline.net/lote/detalhe/128809", "791")</f>
      </c>
      <c r="B133" s="4" t="s">
        <f>=HYPERLINK("https://www.leilaoonline.net/lote/detalhe/128809", " 082-187-2022 - 282 ITENS - BLOCO DE COMPONENTE, APL. 8058673 GM-EMD, BRACKET P/ LOCOMOTIVA; E OUTROS, VEJA DESCRITIVO DE ITENS - LOC. VITORIA/ES")</f>
      </c>
      <c r="C133" s="4" t="inlineStr">
        <is>
          <t>Não vendido</t>
        </is>
      </c>
      <c r="D133" s="4" t="inlineStr">
        <is>
          <t>3</t>
        </is>
      </c>
      <c r="E133" s="5" t="inlineStr">
        <is>
          <t>700,00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=HYPERLINK("https://www.leilaoonline.net/lote/detalhe/128824", "792")</f>
      </c>
      <c r="B134" s="4" t="s">
        <f>=HYPERLINK("https://www.leilaoonline.net/lote/detalhe/128824", " 082-188-2022 - 138 ITENS. - RELE TEMPORIZADOR; TIP, MER 12D 10M HITACHI, MODULO ELETROCNICO PADRONIZADO, E OUTROS, VEJA DESCRITIVO DE ITENS. - LOC. VITORIA/ES")</f>
      </c>
      <c r="C134" s="4" t="inlineStr">
        <is>
          <t>Não vendido</t>
        </is>
      </c>
      <c r="D134" s="4" t="inlineStr">
        <is>
          <t>17</t>
        </is>
      </c>
      <c r="E134" s="5" t="inlineStr">
        <is>
          <t>2.850,00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=HYPERLINK("https://www.leilaoonline.net/lote/detalhe/128814", "793")</f>
      </c>
      <c r="B135" s="4" t="s">
        <f>=HYPERLINK("https://www.leilaoonline.net/lote/detalhe/128814", " 082-192-2022 - 1676 ITENS - ARRUELA 2430100345 BOSCH, PARAFUSO 14MM, 40MM METR; E OUTROS, VEJA DESCRITIVO DE ITENS. - LOC. VITORIA/ES")</f>
      </c>
      <c r="C135" s="4" t="inlineStr">
        <is>
          <t>Não vendido</t>
        </is>
      </c>
      <c r="D135" s="4" t="inlineStr">
        <is>
          <t>2</t>
        </is>
      </c>
      <c r="E135" s="5" t="inlineStr">
        <is>
          <t>600,00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=HYPERLINK("https://www.leilaoonline.net/lote/detalhe/128816", "794")</f>
      </c>
      <c r="B136" s="4" t="s">
        <f>=HYPERLINK("https://www.leilaoonline.net/lote/detalhe/128816", " 082-194-2021 - MAQUINA DE SOLDA WHITE MARINS, MOD. SOLDAR 4300, ANO 2014. - LOC. VITORIA/ES")</f>
      </c>
      <c r="C136" s="4" t="inlineStr">
        <is>
          <t>Vendido</t>
        </is>
      </c>
      <c r="D136" s="4" t="inlineStr">
        <is>
          <t>2</t>
        </is>
      </c>
      <c r="E136" s="5" t="inlineStr">
        <is>
          <t>600,00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=HYPERLINK("https://www.leilaoonline.net/lote/detalhe/128812", "795")</f>
      </c>
      <c r="B137" s="4" t="s">
        <f>=HYPERLINK("https://www.leilaoonline.net/lote/detalhe/128812", " 082-194-2022 - 860 ITENS - ADAPTADOR 115X1948 GENERAL ELETRIC, ARRUELA 11X2460 GENERAL ELETRIC, E OUTROS, VEJA DESCRITIVO DE ITENS. - LOC. VITORIA/ES")</f>
      </c>
      <c r="C137" s="4" t="inlineStr">
        <is>
          <t>Não vendido</t>
        </is>
      </c>
      <c r="D137" s="4" t="inlineStr">
        <is>
          <t>4</t>
        </is>
      </c>
      <c r="E137" s="5" t="inlineStr">
        <is>
          <t>800,00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=HYPERLINK("https://www.leilaoonline.net/lote/detalhe/128834", "796")</f>
      </c>
      <c r="B138" s="4" t="s">
        <f>=HYPERLINK("https://www.leilaoonline.net/lote/detalhe/128834", " 082-199-2022 - 183 itens. - MODULO ELETR. SCHENCK BRASIL, TRANSFORMADOR COMPONENTE , 1320VA SOLETRFO; E OUTROS, VEJA DESCRIÇÃO DE ITENS. - LOC. VITORIA/ES")</f>
      </c>
      <c r="C138" s="4" t="inlineStr">
        <is>
          <t>Não vendido</t>
        </is>
      </c>
      <c r="D138" s="4" t="inlineStr">
        <is>
          <t>18</t>
        </is>
      </c>
      <c r="E138" s="5" t="inlineStr">
        <is>
          <t>3.250,00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=HYPERLINK("https://www.leilaoonline.net/lote/detalhe/128813", "797")</f>
      </c>
      <c r="B139" s="4" t="s">
        <f>=HYPERLINK("https://www.leilaoonline.net/lote/detalhe/128813", " 082-206-2022 - APROX. 214727 MASCARAS  RESPIRADORAS TECIDO. - LOC. VITORIA/ES")</f>
      </c>
      <c r="C139" s="4" t="inlineStr">
        <is>
          <t>Não vendido</t>
        </is>
      </c>
      <c r="D139" s="4" t="inlineStr">
        <is>
          <t>4</t>
        </is>
      </c>
      <c r="E139" s="5" t="inlineStr">
        <is>
          <t>800,00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=HYPERLINK("https://www.leilaoonline.net/lote/detalhe/128828", "798")</f>
      </c>
      <c r="B140" s="4" t="s">
        <f>=HYPERLINK("https://www.leilaoonline.net/lote/detalhe/128828", " 082-207-2022 - 1230 ITENS. - RETENTOR VED VITON 55MM, 68MM; ARTICULAÇÃO PARA CILINDRO P1C-4PMT; E OUTROS, VEJA DESCRITIVO DE ITENS. - LOC. VITORIA/ES")</f>
      </c>
      <c r="C140" s="4" t="inlineStr">
        <is>
          <t>Não vendido</t>
        </is>
      </c>
      <c r="D140" s="4" t="inlineStr">
        <is>
          <t>4</t>
        </is>
      </c>
      <c r="E140" s="5" t="inlineStr">
        <is>
          <t>800,00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=HYPERLINK("https://www.leilaoonline.net/lote/detalhe/128810", "799")</f>
      </c>
      <c r="B141" s="4" t="s">
        <f>=HYPERLINK("https://www.leilaoonline.net/lote/detalhe/128810", " 082-208-2022 - 4024 ITENS. - PARAFUSO 1/8 POL UNC; TEMINAL ELET. 95MM; E OUTROS, VEJA DESCRITIVO DE ITENS. - LOC. VITORIA/ES")</f>
      </c>
      <c r="C141" s="4" t="inlineStr">
        <is>
          <t>Não vendido</t>
        </is>
      </c>
      <c r="D141" s="4" t="inlineStr">
        <is>
          <t>10</t>
        </is>
      </c>
      <c r="E141" s="5" t="inlineStr">
        <is>
          <t>1.700,00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=HYPERLINK("https://www.leilaoonline.net/lote/detalhe/128819", "800")</f>
      </c>
      <c r="B142" s="4" t="s">
        <f>=HYPERLINK("https://www.leilaoonline.net/lote/detalhe/128819", " 082-209-2022 - 1154 ITENS. - PARAFUSO CABEÇA SEXT. 251812 METAL. ELAPASA; PINO COMPONENTE , A;TA6519 CVRD; E OUTROS, VEJA DESCRITIVO - LOC. VITORIA/ES")</f>
      </c>
      <c r="C142" s="4" t="inlineStr">
        <is>
          <t>Não vendido</t>
        </is>
      </c>
      <c r="D142" s="4" t="inlineStr">
        <is>
          <t>2</t>
        </is>
      </c>
      <c r="E142" s="5" t="inlineStr">
        <is>
          <t>600,00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=HYPERLINK("https://www.leilaoonline.net/lote/detalhe/128802", "801")</f>
      </c>
      <c r="B143" s="4" t="s">
        <f>=HYPERLINK("https://www.leilaoonline.net/lote/detalhe/128802", " 082-212-2022 - 7 MAQUINAS DE SOLDA DIFERENTES MODELOS, VEJA DESCRITIVO DE ITENS - LOC. VITORIA/ES")</f>
      </c>
      <c r="C143" s="4" t="inlineStr">
        <is>
          <t>Não vendido</t>
        </is>
      </c>
      <c r="D143" s="4" t="inlineStr">
        <is>
          <t>30</t>
        </is>
      </c>
      <c r="E143" s="5" t="inlineStr">
        <is>
          <t>6.250,00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=HYPERLINK("https://www.leilaoonline.net/lote/detalhe/128823", "802")</f>
      </c>
      <c r="B144" s="4" t="s">
        <f>=HYPERLINK("https://www.leilaoonline.net/lote/detalhe/128823", " 082-221-2022 - 3154 ITENS. - PORCA PLANA QUADRADA; REATOR LAMPADA 250W 220V 60HZ; E OUTROS, VEJA DESCRITIVO DE ITENS. - LOC. VITORIA/ES")</f>
      </c>
      <c r="C144" s="4" t="inlineStr">
        <is>
          <t>Não vendido</t>
        </is>
      </c>
      <c r="D144" s="4" t="inlineStr">
        <is>
          <t>3</t>
        </is>
      </c>
      <c r="E144" s="5" t="inlineStr">
        <is>
          <t>700,00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=HYPERLINK("https://www.leilaoonline.net/lote/detalhe/128806", "803")</f>
      </c>
      <c r="B145" s="4" t="s">
        <f>=HYPERLINK("https://www.leilaoonline.net/lote/detalhe/128806", " 082-222-2022 - 4740 ITENS. - PORTA ESCOVA 41C633996G2 GENERAL ELETRIC; BOMBA COMPONENTE 132X1812; E OUTROS, VEJA DESCRITIVO DE ITENS. - LOC. VITORIA/ES")</f>
      </c>
      <c r="C145" s="4" t="inlineStr">
        <is>
          <t>Não vendido</t>
        </is>
      </c>
      <c r="D145" s="4" t="inlineStr">
        <is>
          <t>16</t>
        </is>
      </c>
      <c r="E145" s="5" t="inlineStr">
        <is>
          <t>4.350,00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=HYPERLINK("https://www.leilaoonline.net/lote/detalhe/128827", "804")</f>
      </c>
      <c r="B146" s="4" t="s">
        <f>=HYPERLINK("https://www.leilaoonline.net/lote/detalhe/128827", " 082-224-2022 - 55 ITENS. - PROTETOR COMPONENTE ; APLI 935124 GM-EMD; DESCARGA 8358830 GM-EMD; E OUTROS, VEJA DESCRITIVO DE ITENS. - LOC. VITORIA/ES")</f>
      </c>
      <c r="C146" s="4" t="inlineStr">
        <is>
          <t>Vendido</t>
        </is>
      </c>
      <c r="D146" s="4" t="inlineStr">
        <is>
          <t>14</t>
        </is>
      </c>
      <c r="E146" s="5" t="inlineStr">
        <is>
          <t>2.623,00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=HYPERLINK("https://www.leilaoonline.net/lote/detalhe/128811", "805")</f>
      </c>
      <c r="B147" s="4" t="s">
        <f>=HYPERLINK("https://www.leilaoonline.net/lote/detalhe/128811", " 082-225-2022 - 280 ITENS. - EIXO CARDAN ALBARUS, BOMBA CJ COMPONENTE, GM-EMD; E OUTROS, VEJA DESCRITIVO DE ITENS. - LCOC. VITORIA/ES")</f>
      </c>
      <c r="C147" s="4" t="inlineStr">
        <is>
          <t>Não vendido</t>
        </is>
      </c>
      <c r="D147" s="4" t="inlineStr">
        <is>
          <t>39</t>
        </is>
      </c>
      <c r="E147" s="5" t="inlineStr">
        <is>
          <t>10.050,00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=HYPERLINK("https://www.leilaoonline.net/lote/detalhe/128825", "806")</f>
      </c>
      <c r="B148" s="4" t="s">
        <f>=HYPERLINK("https://www.leilaoonline.net/lote/detalhe/128825", " 082-226-2022 - 60 ITENS - ENGRENAGEM P/ REDUTOR, TAMBOR CORR. TRANS. 610MM; E OUTROS, VEJA DESCRITIVO DE ITENS. LOC. VITORIA/ES")</f>
      </c>
      <c r="C148" s="4" t="inlineStr">
        <is>
          <t>Não vendido</t>
        </is>
      </c>
      <c r="D148" s="4" t="inlineStr">
        <is>
          <t>4</t>
        </is>
      </c>
      <c r="E148" s="5" t="inlineStr">
        <is>
          <t>1.000,00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=HYPERLINK("https://www.leilaoonline.net/lote/detalhe/128807", "807")</f>
      </c>
      <c r="B149" s="4" t="s">
        <f>=HYPERLINK("https://www.leilaoonline.net/lote/detalhe/128807", " 082-227-2022 - 45 ITENS - ANEL 128X1023  GENERAL ELETRIC.; DISCO P/ GERADOR, ACOPL; 8164682 GM; E OUTROS, VEJA DESCRITIVO DE ITENS. - LOC. VITORIA/ES")</f>
      </c>
      <c r="C149" s="4" t="inlineStr">
        <is>
          <t>Não vendido</t>
        </is>
      </c>
      <c r="D149" s="4" t="inlineStr">
        <is>
          <t>42</t>
        </is>
      </c>
      <c r="E149" s="5" t="inlineStr">
        <is>
          <t>9.400,00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=HYPERLINK("https://www.leilaoonline.net/lote/detalhe/128818", "808")</f>
      </c>
      <c r="B150" s="4" t="s">
        <f>=HYPERLINK("https://www.leilaoonline.net/lote/detalhe/128818", " 082-228-2022 - 60 ITENS - CAMISA CABEÇOTE 121X1255 GENERAL ELETRIC; FILTRO FLUIDO GM-EMD; E OUTROS, VEJA DESCRITIVO DE ITENS. - LOC. VITORIA/ES")</f>
      </c>
      <c r="C150" s="4" t="inlineStr">
        <is>
          <t>Não vendido</t>
        </is>
      </c>
      <c r="D150" s="4" t="inlineStr">
        <is>
          <t>5</t>
        </is>
      </c>
      <c r="E150" s="5" t="inlineStr">
        <is>
          <t>1.000,00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=HYPERLINK("https://www.leilaoonline.net/lote/detalhe/128800", "809")</f>
      </c>
      <c r="B151" s="4" t="s">
        <f>=HYPERLINK("https://www.leilaoonline.net/lote/detalhe/128800", " 082-229-2022 - 3600 ITENS. - PORTA ESCOVA GENERAL ELETRIC, ESTOJO 115x1987-4 GENERAL ELETRIC, E OUTROS, VEJA DESCRITIVO DE ITENS - LOC. VITORIA/ES")</f>
      </c>
      <c r="C151" s="4" t="inlineStr">
        <is>
          <t>Não vendido</t>
        </is>
      </c>
      <c r="D151" s="4" t="inlineStr">
        <is>
          <t>4</t>
        </is>
      </c>
      <c r="E151" s="5" t="inlineStr">
        <is>
          <t>1.100,00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=HYPERLINK("https://www.leilaoonline.net/lote/detalhe/128817", "810")</f>
      </c>
      <c r="B152" s="4" t="s">
        <f>=HYPERLINK("https://www.leilaoonline.net/lote/detalhe/128817", " 082-255-2022 - 940 ITENS. - COTOVELO FERRO MALEAVEL, PORCA 1/2 POL. E OUTROS, VEJA DESCRITIVO DE ITENS. - LOC. VITORIA/ES")</f>
      </c>
      <c r="C152" s="4" t="inlineStr">
        <is>
          <t>Não vendido</t>
        </is>
      </c>
      <c r="D152" s="4" t="inlineStr">
        <is>
          <t>1</t>
        </is>
      </c>
      <c r="E152" s="5" t="inlineStr">
        <is>
          <t>500,00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=HYPERLINK("https://www.leilaoonline.net/lote/detalhe/128804", "811")</f>
      </c>
      <c r="B153" s="4" t="s">
        <f>=HYPERLINK("https://www.leilaoonline.net/lote/detalhe/128804", " 082-256-2022 - 17000 ITENS. - REBITE POP 9991409 WHITW MARTINS, PORCA 1/4POL UNC; E OUTROS, VEJA DESCRITIVO DE ITENS. - LOC. VITORIA/ES")</f>
      </c>
      <c r="C153" s="4" t="inlineStr">
        <is>
          <t>Não vendido</t>
        </is>
      </c>
      <c r="D153" s="4" t="inlineStr">
        <is>
          <t>13</t>
        </is>
      </c>
      <c r="E153" s="5" t="inlineStr">
        <is>
          <t>2.000,00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=HYPERLINK("https://www.leilaoonline.net/lote/detalhe/128830", "812")</f>
      </c>
      <c r="B154" s="4" t="s">
        <f>=HYPERLINK("https://www.leilaoonline.net/lote/detalhe/128830", " 082-257-2022 - APROX. 14000 ITENS. - CALÇA PROF. OPER. FM. 36; CHAPA MET. AL 1000MM 2000MM; E OUTROS, VEJA DESCRITIVO DE ITENS. - LOC. VITORIA/ES")</f>
      </c>
      <c r="C154" s="4" t="inlineStr">
        <is>
          <t>Não vendido</t>
        </is>
      </c>
      <c r="D154" s="4" t="inlineStr">
        <is>
          <t>24</t>
        </is>
      </c>
      <c r="E154" s="5" t="inlineStr">
        <is>
          <t>20.000,00</t>
        </is>
      </c>
      <c r="F154" s="4" t="inlineStr">
        <is>
          <t>500.00</t>
        </is>
      </c>
    </row>
    <row collapsed="false" customFormat="false" customHeight="false" hidden="false" ht="12.1" outlineLevel="0" r="155">
      <c r="A155" s="5" t="s">
        <f>=HYPERLINK("https://www.leilaoonline.net/lote/detalhe/128801", "813")</f>
      </c>
      <c r="B155" s="4" t="s">
        <f>=HYPERLINK("https://www.leilaoonline.net/lote/detalhe/128801", " 082-258-2022 - APROX. 5000 ITENS. - ARRUELA AC SAE1020 1/2 POL 27MM; LAMPADA PILOTO SINALIZADORA VE; E OUTROS, VEJA DESCRITIVO DE ITENS. - LOC. - VITORIA/ES")</f>
      </c>
      <c r="C155" s="4" t="inlineStr">
        <is>
          <t>Não vendido</t>
        </is>
      </c>
      <c r="D155" s="4" t="inlineStr">
        <is>
          <t>6</t>
        </is>
      </c>
      <c r="E155" s="5" t="inlineStr">
        <is>
          <t>1.000,00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=HYPERLINK("https://www.leilaoonline.net/lote/detalhe/128833", "814")</f>
      </c>
      <c r="B156" s="4" t="s">
        <f>=HYPERLINK("https://www.leilaoonline.net/lote/detalhe/128833", " 082-259-2022 - TAMBOR CORR. TRANSP. 1200 MM. - LOC. VITORIA/ES")</f>
      </c>
      <c r="C156" s="4" t="inlineStr">
        <is>
          <t>Vendido</t>
        </is>
      </c>
      <c r="D156" s="4" t="inlineStr">
        <is>
          <t>7</t>
        </is>
      </c>
      <c r="E156" s="5" t="inlineStr">
        <is>
          <t>1.004,00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=HYPERLINK("https://www.leilaoonline.net/lote/detalhe/128805", "815")</f>
      </c>
      <c r="B157" s="4" t="s">
        <f>=HYPERLINK("https://www.leilaoonline.net/lote/detalhe/128805", " 082-261-2022 - TELA NÃO METALICA, MATERIAL POLIETILENO. - LOC. VITORIA/ES")</f>
      </c>
      <c r="C157" s="4" t="inlineStr">
        <is>
          <t>Não vendido</t>
        </is>
      </c>
      <c r="D157" s="4" t="inlineStr">
        <is>
          <t>4</t>
        </is>
      </c>
      <c r="E157" s="5" t="inlineStr">
        <is>
          <t>800,00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=HYPERLINK("https://www.leilaoonline.net/lote/detalhe/128821", "816")</f>
      </c>
      <c r="B158" s="4" t="s">
        <f>=HYPERLINK("https://www.leilaoonline.net/lote/detalhe/128821", " 082-262-2022 - 200 ITENS. - NIPLE DE REDUÇÃO 1/2POL . 1/4POL 14 BAR, DISJUNTOR 250A; E OUTROS, VEJA DESCRITIVO DE ITENS. - LOC. VITORIA/ES")</f>
      </c>
      <c r="C158" s="4" t="inlineStr">
        <is>
          <t>Vendido</t>
        </is>
      </c>
      <c r="D158" s="4" t="inlineStr">
        <is>
          <t>78</t>
        </is>
      </c>
      <c r="E158" s="5" t="inlineStr">
        <is>
          <t>41.600,00</t>
        </is>
      </c>
      <c r="F158" s="4" t="inlineStr">
        <is>
          <t>1000.00</t>
        </is>
      </c>
    </row>
    <row collapsed="false" customFormat="false" customHeight="false" hidden="false" ht="12.1" outlineLevel="0" r="159">
      <c r="A159" s="5" t="s">
        <f>=HYPERLINK("https://www.leilaoonline.net/lote/detalhe/128808", "817")</f>
      </c>
      <c r="B159" s="4" t="s">
        <f>=HYPERLINK("https://www.leilaoonline.net/lote/detalhe/128808", " 082-265-2022 - 4 VIBRADORES ELETRICO MANUAIS, DIVERSOS MODELOS, VEJA DESCRITIVO DE ITENS. - LOC. VITORIA/ES")</f>
      </c>
      <c r="C159" s="4" t="inlineStr">
        <is>
          <t>Não vendido</t>
        </is>
      </c>
      <c r="D159" s="4" t="inlineStr">
        <is>
          <t>2</t>
        </is>
      </c>
      <c r="E159" s="5" t="inlineStr">
        <is>
          <t>600,00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=HYPERLINK("https://www.leilaoonline.net/lote/detalhe/128831", "818")</f>
      </c>
      <c r="B160" s="4" t="s">
        <f>=HYPERLINK("https://www.leilaoonline.net/lote/detalhe/128831", " 082-273-2022 - 10 ITENS. - FILTRO FLUIDO AGUA; DISJUNTOR 24344 ASTRA; E OUTROS, VEJA DECRITIVO DE ITENS. - LOC. VITORIA/ES")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500,00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=HYPERLINK("https://www.leilaoonline.net/lote/detalhe/128799", "819")</f>
      </c>
      <c r="B161" s="4" t="s">
        <f>=HYPERLINK("https://www.leilaoonline.net/lote/detalhe/128799", " 082-274-2022 - 470 MOLAS 18952 AMSTED MAXION. - LOC. VITORIA/ES")</f>
      </c>
      <c r="C161" s="4" t="inlineStr">
        <is>
          <t>Vendido</t>
        </is>
      </c>
      <c r="D161" s="4" t="inlineStr">
        <is>
          <t>4</t>
        </is>
      </c>
      <c r="E161" s="5" t="inlineStr">
        <is>
          <t>975,00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=HYPERLINK("https://www.leilaoonline.net/lote/detalhe/128860", "820")</f>
      </c>
      <c r="B162" s="4" t="s">
        <f>=HYPERLINK("https://www.leilaoonline.net/lote/detalhe/128860", " CPBS -002-2022- 24.820 UNDS. MASCARA RESPIRADORA TECIDO U, LOC. ITAGUAI - PORTO DE SEPETIBA")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500,00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=HYPERLINK("https://www.leilaoonline.net/lote/detalhe/128868", "821")</f>
      </c>
      <c r="B163" s="4" t="s">
        <f>=HYPERLINK("https://www.leilaoonline.net/lote/detalhe/128868", " CPBS-006-2022- 55 ITENS RASPADOR PRIMÁRIO, BUCHA  E OUTROS-VEJA DESCRITIVO DE ITENS- LOC. ITAGUAI - PORTO DE SEPETIBA")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500,00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=HYPERLINK("https://www.leilaoonline.net/lote/detalhe/128867", "822")</f>
      </c>
      <c r="B164" s="4" t="s">
        <f>=HYPERLINK("https://www.leilaoonline.net/lote/detalhe/128867", " CPBS-008-2022- 03 FREIO 1336-WB110 ALLEN BRADLEY,  LOC. ITAGUAI - PORTO DE SEPETIBA")</f>
      </c>
      <c r="C164" s="4" t="inlineStr">
        <is>
          <t>Vendido</t>
        </is>
      </c>
      <c r="D164" s="4" t="inlineStr">
        <is>
          <t>24</t>
        </is>
      </c>
      <c r="E164" s="5" t="inlineStr">
        <is>
          <t>4.900,00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=HYPERLINK("https://www.leilaoonline.net/lote/detalhe/128869", "823")</f>
      </c>
      <c r="B165" s="4" t="s">
        <f>=HYPERLINK("https://www.leilaoonline.net/lote/detalhe/128869", " CPBS-009-2022- 01 PINO CILINDRICO, 03 ROLAMENTOS ,  ( VEJA DESCRITIVO DE ITENS) LOC. ITAGUAI - PORTO DE SEPETIBA,")</f>
      </c>
      <c r="C165" s="4" t="inlineStr">
        <is>
          <t>Vendido</t>
        </is>
      </c>
      <c r="D165" s="4" t="inlineStr">
        <is>
          <t>72</t>
        </is>
      </c>
      <c r="E165" s="5" t="inlineStr">
        <is>
          <t>27.000,00</t>
        </is>
      </c>
      <c r="F165" s="4" t="inlineStr">
        <is>
          <t>1000.00</t>
        </is>
      </c>
    </row>
    <row collapsed="false" customFormat="false" customHeight="false" hidden="false" ht="12.1" outlineLevel="0" r="166">
      <c r="A166" s="5" t="s">
        <f>=HYPERLINK("https://www.leilaoonline.net/lote/detalhe/128861", "824")</f>
      </c>
      <c r="B166" s="4" t="s">
        <f>=HYPERLINK("https://www.leilaoonline.net/lote/detalhe/128861", " FAB-092-2022- 86 CAIXA ROLAMENTOS, POLIA, VALVULAS, E OUTROS-VEJA DESCRITIVO DE ITENS, LOC. Ouro Preto/MG")</f>
      </c>
      <c r="C166" s="4" t="inlineStr">
        <is>
          <t>Não vendido</t>
        </is>
      </c>
      <c r="D166" s="4" t="inlineStr">
        <is>
          <t>9</t>
        </is>
      </c>
      <c r="E166" s="5" t="inlineStr">
        <is>
          <t>1.300,00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=HYPERLINK("https://www.leilaoonline.net/lote/detalhe/128866", "825")</f>
      </c>
      <c r="B167" s="4" t="s">
        <f>=HYPERLINK("https://www.leilaoonline.net/lote/detalhe/128866", " FAB-093-2022- 28.778 UNDS. MASCARA RESPIRADORA TECIDO U, LOC. Ouro Preto/MG")</f>
      </c>
      <c r="C167" s="4" t="inlineStr">
        <is>
          <t>Não vendido</t>
        </is>
      </c>
      <c r="D167" s="4" t="inlineStr">
        <is>
          <t>1</t>
        </is>
      </c>
      <c r="E167" s="5" t="inlineStr">
        <is>
          <t>500,00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=HYPERLINK("https://www.leilaoonline.net/lote/detalhe/128872", "826")</f>
      </c>
      <c r="B168" s="4" t="s">
        <f>=HYPERLINK("https://www.leilaoonline.net/lote/detalhe/128872", " FAB-096-2022- 99 ITENS, RETENTOR, SELO DE PISTÃO, PARAFUSO E OUTROS VEJA DESCRITIVO DE ITENS,  LOC. Ouro Preto/MG")</f>
      </c>
      <c r="C168" s="4" t="inlineStr">
        <is>
          <t>Não vendido</t>
        </is>
      </c>
      <c r="D168" s="4" t="inlineStr">
        <is>
          <t>4</t>
        </is>
      </c>
      <c r="E168" s="5" t="inlineStr">
        <is>
          <t>800,00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=HYPERLINK("https://www.leilaoonline.net/lote/detalhe/128873", "827")</f>
      </c>
      <c r="B169" s="4" t="s">
        <f>=HYPERLINK("https://www.leilaoonline.net/lote/detalhe/128873", " FAB-097-2022- 210 ITENS, MANCAL, REGULADOR, MANGUEIRAS  E OUTROS VEJA DESCRITIVO DE ITENS,  LOC. Ouro Preto/MG")</f>
      </c>
      <c r="C169" s="4" t="inlineStr">
        <is>
          <t>Não vendido</t>
        </is>
      </c>
      <c r="D169" s="4" t="inlineStr">
        <is>
          <t>4</t>
        </is>
      </c>
      <c r="E169" s="5" t="inlineStr">
        <is>
          <t>800,00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=HYPERLINK("https://www.leilaoonline.net/lote/detalhe/128871", "828")</f>
      </c>
      <c r="B170" s="4" t="s">
        <f>=HYPERLINK("https://www.leilaoonline.net/lote/detalhe/128871", " FAB-098-2022- 582 ITENS, PARAFUSO, RETENTOR,  ANEL E OUTROS VEJA DESCRITIVO DE ITENS,  LOC. Ouro Preto/MG ")</f>
      </c>
      <c r="C170" s="4" t="inlineStr">
        <is>
          <t>Não vendido</t>
        </is>
      </c>
      <c r="D170" s="4" t="inlineStr">
        <is>
          <t>2</t>
        </is>
      </c>
      <c r="E170" s="5" t="inlineStr">
        <is>
          <t>600,00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=HYPERLINK("https://www.leilaoonline.net/lote/detalhe/128863", "829")</f>
      </c>
      <c r="B171" s="4" t="s">
        <f>=HYPERLINK("https://www.leilaoonline.net/lote/detalhe/128863", " FAB-099-2022- 532 ITENS, EIXO, ARRUELA, TUBO  E OUTROS VEJA DESCRITIVO DE ITENS,  LOC. Ouro Preto/MG ")</f>
      </c>
      <c r="C171" s="4" t="inlineStr">
        <is>
          <t>Não vendido</t>
        </is>
      </c>
      <c r="D171" s="4" t="inlineStr">
        <is>
          <t>2</t>
        </is>
      </c>
      <c r="E171" s="5" t="inlineStr">
        <is>
          <t>600,00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=HYPERLINK("https://www.leilaoonline.net/lote/detalhe/128870", "830")</f>
      </c>
      <c r="B172" s="4" t="s">
        <f>=HYPERLINK("https://www.leilaoonline.net/lote/detalhe/128870", " FAB-100-2022- 430 ITENS, MANGUEIRA, PARAFUSO , ADAPTADOR  E OUTROS VEJA DESCRITIVO DE ITENS,  LOC. Ouro Preto/MG ")</f>
      </c>
      <c r="C172" s="4" t="inlineStr">
        <is>
          <t>Não vendido</t>
        </is>
      </c>
      <c r="D172" s="4" t="inlineStr">
        <is>
          <t>6</t>
        </is>
      </c>
      <c r="E172" s="5" t="inlineStr">
        <is>
          <t>1.000,00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=HYPERLINK("https://www.leilaoonline.net/lote/detalhe/128864", "831")</f>
      </c>
      <c r="B173" s="4" t="s">
        <f>=HYPERLINK("https://www.leilaoonline.net/lote/detalhe/128864", " FAB-101-2022- 294 ITENS, VALVULA, COTOVELOS, ISOLADOR  E OUTROS VEJA DESCRITIVO DE ITENS,  LOC. Ouro Preto/MG ")</f>
      </c>
      <c r="C173" s="4" t="inlineStr">
        <is>
          <t>Não vendido</t>
        </is>
      </c>
      <c r="D173" s="4" t="inlineStr">
        <is>
          <t>1</t>
        </is>
      </c>
      <c r="E173" s="5" t="inlineStr">
        <is>
          <t>500,00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=HYPERLINK("https://www.leilaoonline.net/lote/detalhe/128865", "832")</f>
      </c>
      <c r="B174" s="4" t="s">
        <f>=HYPERLINK("https://www.leilaoonline.net/lote/detalhe/128865", " FAB-102-2022- 500 ITENS, PARAFUSOS, CONJUNTO MANGUEIRA E OUTROS VEJA DESCRITIVO DE ITENS,  LOC. Ouro Preto/MG ")</f>
      </c>
      <c r="C174" s="4" t="inlineStr">
        <is>
          <t>Não vendido</t>
        </is>
      </c>
      <c r="D174" s="4" t="inlineStr">
        <is>
          <t>1</t>
        </is>
      </c>
      <c r="E174" s="5" t="inlineStr">
        <is>
          <t>500,00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=HYPERLINK("https://www.leilaoonline.net/lote/detalhe/128862", "833")</f>
      </c>
      <c r="B175" s="4" t="s">
        <f>=HYPERLINK("https://www.leilaoonline.net/lote/detalhe/128862", " FAB-103-2022- 449 ITENS, LAMPADAS, ARRUELA, JUNTA  E OUTROS VEJA DESCRITIVO DE ITENS,  LOC. Ouro Preto/MG ")</f>
      </c>
      <c r="C175" s="4" t="inlineStr">
        <is>
          <t>Não vendido</t>
        </is>
      </c>
      <c r="D175" s="4" t="inlineStr">
        <is>
          <t>7</t>
        </is>
      </c>
      <c r="E175" s="5" t="inlineStr">
        <is>
          <t>1.100,00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=HYPERLINK("https://www.leilaoonline.net/lote/detalhe/128880", "834")</f>
      </c>
      <c r="B176" s="4" t="s">
        <f>=HYPERLINK("https://www.leilaoonline.net/lote/detalhe/128880", " GOV-001-2022 - 300 ITENS - TACOMETRO MDF40 WILLTEC, PORCA ESNH130-3/4"16NF-R60 PLASSER; E OUTROS, VEJA DESCRITIVO DE ITENS - LOC.  GOVERNADOR VALADARES/MG")</f>
      </c>
      <c r="C176" s="4" t="inlineStr">
        <is>
          <t>Não vendido</t>
        </is>
      </c>
      <c r="D176" s="4" t="inlineStr">
        <is>
          <t>1</t>
        </is>
      </c>
      <c r="E176" s="5" t="inlineStr">
        <is>
          <t>500,00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=HYPERLINK("https://www.leilaoonline.net/lote/detalhe/128881", "835")</f>
      </c>
      <c r="B177" s="4" t="s">
        <f>=HYPERLINK("https://www.leilaoonline.net/lote/detalhe/128881", " GOV-002-2022 - 460 ITENS - PARAF M10X25DIN PLASSER; DISCO 13DIN125/VERZ. PLASSER; E OUTROS, VEJA DESCRITIVO DE ITENS. - LOC. GOVERNADOR VALADARES/MG")</f>
      </c>
      <c r="C177" s="4" t="inlineStr">
        <is>
          <t>Vendido</t>
        </is>
      </c>
      <c r="D177" s="4" t="inlineStr">
        <is>
          <t>1</t>
        </is>
      </c>
      <c r="E177" s="5" t="inlineStr">
        <is>
          <t>500,00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=HYPERLINK("https://www.leilaoonline.net/lote/detalhe/128888", "836")</f>
      </c>
      <c r="B178" s="4" t="s">
        <f>=HYPERLINK("https://www.leilaoonline.net/lote/detalhe/128888", " GOV-010-2022 - 420 ITENS - PINO CORR RE08.11.103-GEHAERTET PLASSER; MOLDURA 2M5284 CATERPILLAR; E OUTROS, VEJA DESCRITIVO DE ITENS. - LOC. GOVERNADOR VALADARES/MG")</f>
      </c>
      <c r="C178" s="4" t="inlineStr">
        <is>
          <t>Vendido</t>
        </is>
      </c>
      <c r="D178" s="4" t="inlineStr">
        <is>
          <t>1</t>
        </is>
      </c>
      <c r="E178" s="5" t="inlineStr">
        <is>
          <t>500,00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=HYPERLINK("https://www.leilaoonline.net/lote/detalhe/128878", "837")</f>
      </c>
      <c r="B179" s="4" t="s">
        <f>=HYPERLINK("https://www.leilaoonline.net/lote/detalhe/128878", " GOV-011-2022 - 330 ITENS - ANEL RETEN 91-247-055-2000 MATISA, ARRUELA ESPACAD 91-576-010-0420 MATISA; E OUTROS, VEJA DESCRITIVO DE ITENS. - LOC. GOVERNADOR VALADARES/MG")</f>
      </c>
      <c r="C179" s="4" t="inlineStr">
        <is>
          <t>Vendido</t>
        </is>
      </c>
      <c r="D179" s="4" t="inlineStr">
        <is>
          <t>2</t>
        </is>
      </c>
      <c r="E179" s="5" t="inlineStr">
        <is>
          <t>600,00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=HYPERLINK("https://www.leilaoonline.net/lote/detalhe/128887", "838")</f>
      </c>
      <c r="B180" s="4" t="s">
        <f>=HYPERLINK("https://www.leilaoonline.net/lote/detalhe/128887", " GOV-012-2022 - 500 ITENS - SENSOR HIDRAUTORQUE; SELO 9X7713 CATERPILLAR; E OUTROS, VEJA DESCRITIVO DE ITENS. - LOC. GOVERNADOR VALADARES/MG")</f>
      </c>
      <c r="C180" s="4" t="inlineStr">
        <is>
          <t>Vendido</t>
        </is>
      </c>
      <c r="D180" s="4" t="inlineStr">
        <is>
          <t>2</t>
        </is>
      </c>
      <c r="E180" s="5" t="inlineStr">
        <is>
          <t>600,00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=HYPERLINK("https://www.leilaoonline.net/lote/detalhe/128889", "839")</f>
      </c>
      <c r="B181" s="4" t="s">
        <f>=HYPERLINK("https://www.leilaoonline.net/lote/detalhe/128889", " GOV-013-2022 - 80 ITENS - AMORTECEDOR SCANIA, FILTRO AR VOLVO; E OUTROS, VEJA DESCRITIVO DE ITENS. - LOC. GOVERNADOR VALADARES/MG")</f>
      </c>
      <c r="C181" s="4" t="inlineStr">
        <is>
          <t>Vendido</t>
        </is>
      </c>
      <c r="D181" s="4" t="inlineStr">
        <is>
          <t>4</t>
        </is>
      </c>
      <c r="E181" s="5" t="inlineStr">
        <is>
          <t>800,00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=HYPERLINK("https://www.leilaoonline.net/lote/detalhe/128890", "840")</f>
      </c>
      <c r="B182" s="4" t="s">
        <f>=HYPERLINK("https://www.leilaoonline.net/lote/detalhe/128890", " GOV-014-2022 - APROX. 35.000 MASCARA RESPIRADORA TECIDO U - LOC. GOVERNADOR VALADARES/MG")</f>
      </c>
      <c r="C182" s="4" t="inlineStr">
        <is>
          <t>Não vendido</t>
        </is>
      </c>
      <c r="D182" s="4" t="inlineStr">
        <is>
          <t>1</t>
        </is>
      </c>
      <c r="E182" s="5" t="inlineStr">
        <is>
          <t>500,00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=HYPERLINK("https://www.leilaoonline.net/lote/detalhe/128883", "841")</f>
      </c>
      <c r="B183" s="4" t="s">
        <f>=HYPERLINK("https://www.leilaoonline.net/lote/detalhe/128883", " GOV- 017 -2022 - 25 ITENS - GAVETEIRO, MESA LATERAL; 60 X 60; TECNOFLEX; E OUTROS, VEJA DESCRITIVO DE ITENS. - LOC. GORVERNADOR VALADARES/MG 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500,00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=HYPERLINK("https://www.leilaoonline.net/lote/detalhe/128879", "842")</f>
      </c>
      <c r="B184" s="4" t="s">
        <f>=HYPERLINK("https://www.leilaoonline.net/lote/detalhe/128879", " GOV-019-2022 - 3 TELEFONES MOD RECEPTOR MONOAURICULAR MARC/FAB COS;1 APARELHO TELEFONICO OPENSTAGE 40T; MARCA SIEMENS. - LOC. GOVERNADOR VALADARES/MG")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500,00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=HYPERLINK("https://www.leilaoonline.net/lote/detalhe/128876", "843")</f>
      </c>
      <c r="B185" s="4" t="s">
        <f>=HYPERLINK("https://www.leilaoonline.net/lote/detalhe/128876", " GOV-026-2022 - APROX. 500 ITENS. - ELETRODUTO FLEX 3/4POL; CARRETEL GK500NE PLASSER; E OUTROS, VEJA DESCRITIVO DE ITENS. - LOC. GOVERNADOR VALADARES/MG")</f>
      </c>
      <c r="C185" s="4" t="inlineStr">
        <is>
          <t>Não vendido</t>
        </is>
      </c>
      <c r="D185" s="4" t="inlineStr">
        <is>
          <t>10</t>
        </is>
      </c>
      <c r="E185" s="5" t="inlineStr">
        <is>
          <t>1.550,00</t>
        </is>
      </c>
      <c r="F185" s="4" t="inlineStr">
        <is>
          <t>250.00</t>
        </is>
      </c>
    </row>
    <row collapsed="false" customFormat="false" customHeight="false" hidden="false" ht="12.1" outlineLevel="0" r="186">
      <c r="A186" s="5" t="s">
        <f>=HYPERLINK("https://www.leilaoonline.net/lote/detalhe/128884", "844")</f>
      </c>
      <c r="B186" s="4" t="s">
        <f>=HYPERLINK("https://www.leilaoonline.net/lote/detalhe/128884", " GOV-027-2022 - 660 ITENS - MOLA. 0732040364 PLASSER; PARAFUSO 10MM 25MM METR; E OUTROS, VEJA DESCRITIVO DE ITENS. - LOC. GOVERNADOR VALADARES/MG")</f>
      </c>
      <c r="C186" s="4" t="inlineStr">
        <is>
          <t>Não vendido</t>
        </is>
      </c>
      <c r="D186" s="4" t="inlineStr">
        <is>
          <t>2</t>
        </is>
      </c>
      <c r="E186" s="5" t="inlineStr">
        <is>
          <t>600,00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=HYPERLINK("https://www.leilaoonline.net/lote/detalhe/128874", "845")</f>
      </c>
      <c r="B187" s="4" t="s">
        <f>=HYPERLINK("https://www.leilaoonline.net/lote/detalhe/128874", " GOV-028-2022 - 9 ITENS - ARMARIO BAIXO DUAS PORTAS UMA PRATELEIRA 80X49X7, MESA DE TRABALHO ORGANICA L 140 X 140_ALBERFL.- VEJA DESCRITIVO DE ITENS - LOC. GOVERNADOR VALADARES/MG")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500,00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=HYPERLINK("https://www.leilaoonline.net/lote/detalhe/128885", "846")</f>
      </c>
      <c r="B188" s="4" t="s">
        <f>=HYPERLINK("https://www.leilaoonline.net/lote/detalhe/128885", " GOV-132-2021 - 470 ITENS. - BASE 1901106 CATERPILLAR; CONECTOR PASSAG 4MM2 500VCA; E OUTROS, VEJA DESCRITIVO DE ITENS. - LOC. GOVERNADOR VALADARES/MG")</f>
      </c>
      <c r="C188" s="4" t="inlineStr">
        <is>
          <t>Vendido</t>
        </is>
      </c>
      <c r="D188" s="4" t="inlineStr">
        <is>
          <t>2</t>
        </is>
      </c>
      <c r="E188" s="5" t="inlineStr">
        <is>
          <t>600,00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=HYPERLINK("https://www.leilaoonline.net/lote/detalhe/128875", "847")</f>
      </c>
      <c r="B189" s="4" t="s">
        <f>=HYPERLINK("https://www.leilaoonline.net/lote/detalhe/128875", " GOV-134-2021 - 5 SOCADORA MANUAL PE DE PATO GEISMAR, 1 Grupo de socaria maunal para lastro: GB 4; GEISMAR. - VEJA DESCRITIVO DE ITENS  LOC. GOVERNADOR VALADARES/MG")</f>
      </c>
      <c r="C189" s="4" t="inlineStr">
        <is>
          <t>Vendido</t>
        </is>
      </c>
      <c r="D189" s="4" t="inlineStr">
        <is>
          <t>11</t>
        </is>
      </c>
      <c r="E189" s="5" t="inlineStr">
        <is>
          <t>1.500,00</t>
        </is>
      </c>
      <c r="F189" s="4" t="inlineStr">
        <is>
          <t>250.00</t>
        </is>
      </c>
    </row>
    <row collapsed="false" customFormat="false" customHeight="false" hidden="false" ht="12.1" outlineLevel="0" r="190">
      <c r="A190" s="5" t="s">
        <f>=HYPERLINK("https://www.leilaoonline.net/lote/detalhe/128886", "848")</f>
      </c>
      <c r="B190" s="4" t="s">
        <f>=HYPERLINK("https://www.leilaoonline.net/lote/detalhe/128886", " GOV-135-2021 - 7 SOCADORA MANUAL PE DE PATO GEISMAR. - LOC. GOVERNADOR VALADARES/MG")</f>
      </c>
      <c r="C190" s="4" t="inlineStr">
        <is>
          <t>Não vendido</t>
        </is>
      </c>
      <c r="D190" s="4" t="inlineStr">
        <is>
          <t>12</t>
        </is>
      </c>
      <c r="E190" s="5" t="inlineStr">
        <is>
          <t>1.600,00</t>
        </is>
      </c>
      <c r="F190" s="4" t="inlineStr">
        <is>
          <t>250.00</t>
        </is>
      </c>
    </row>
    <row collapsed="false" customFormat="false" customHeight="false" hidden="false" ht="12.1" outlineLevel="0" r="191">
      <c r="A191" s="5" t="s">
        <f>=HYPERLINK("https://www.leilaoonline.net/lote/detalhe/128882", "849")</f>
      </c>
      <c r="B191" s="4" t="s">
        <f>=HYPERLINK("https://www.leilaoonline.net/lote/detalhe/128882", " GOV-147-2021 - 350 ITENS. - CINTOS,  MERCEDES BENZ, KIT VEDACAO ZSC10868A VAIA CAR; E OUTROS, VEJA DESCRITIVO DE ITENS. - LOC. GOVERNADOR VALADARES/MG")</f>
      </c>
      <c r="C191" s="4" t="inlineStr">
        <is>
          <t>Vendido</t>
        </is>
      </c>
      <c r="D191" s="4" t="inlineStr">
        <is>
          <t>1</t>
        </is>
      </c>
      <c r="E191" s="5" t="inlineStr">
        <is>
          <t>500,00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=HYPERLINK("https://www.leilaoonline.net/lote/detalhe/128877", "850")</f>
      </c>
      <c r="B192" s="4" t="s">
        <f>=HYPERLINK("https://www.leilaoonline.net/lote/detalhe/128877", " GOV-148-2021 -  13 ITENS. - CABO POT ELET 600V 1,5MM2 2, PINHAO COROA UD64.44Z/45Z PLASSER; E OUTROS, VEJA DESCRITIVO DE ITENS. - LOC. GOVERNADOR VALADARES/MG")</f>
      </c>
      <c r="C192" s="4" t="inlineStr">
        <is>
          <t>Vendido</t>
        </is>
      </c>
      <c r="D192" s="4" t="inlineStr">
        <is>
          <t>2</t>
        </is>
      </c>
      <c r="E192" s="5" t="inlineStr">
        <is>
          <t>600,00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=HYPERLINK("https://www.leilaoonline.net/lote/detalhe/128947", "852")</f>
      </c>
      <c r="B193" s="4" t="s">
        <f>=HYPERLINK("https://www.leilaoonline.net/lote/detalhe/128947", " ITA-008-2022- 15 ITENS, GRUPO ENGRENAGEM, COMANDO COMPONENTE,  E OUTROS VEJA DESCRITIVO DE ITENS,  LOC.ITABIRA / MG")</f>
      </c>
      <c r="C193" s="4" t="inlineStr">
        <is>
          <t>Vendido</t>
        </is>
      </c>
      <c r="D193" s="4" t="inlineStr">
        <is>
          <t>10</t>
        </is>
      </c>
      <c r="E193" s="5" t="inlineStr">
        <is>
          <t>306.000,00</t>
        </is>
      </c>
      <c r="F193" s="4" t="inlineStr">
        <is>
          <t>2000.00</t>
        </is>
      </c>
    </row>
    <row collapsed="false" customFormat="false" customHeight="false" hidden="false" ht="12.1" outlineLevel="0" r="194">
      <c r="A194" s="5" t="s">
        <f>=HYPERLINK("https://www.leilaoonline.net/lote/detalhe/128957", "853")</f>
      </c>
      <c r="B194" s="4" t="s">
        <f>=HYPERLINK("https://www.leilaoonline.net/lote/detalhe/128957", " ITA-009-2022- 47.500 UNDS. MASCARA RESPIRADORA; TIPO: SEMI-FACIAL;, LOC.ITABIRA / MG")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500,00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=HYPERLINK("https://www.leilaoonline.net/lote/detalhe/128960", "854")</f>
      </c>
      <c r="B195" s="4" t="s">
        <f>=HYPERLINK("https://www.leilaoonline.net/lote/detalhe/128960", " ITA-028-2022- 03 MOTOSSERA PROFISSIONAL, VEJA DESCRITIVO DE ITENS LOC.ITABIRA/MG")</f>
      </c>
      <c r="C195" s="4" t="inlineStr">
        <is>
          <t>Vendido</t>
        </is>
      </c>
      <c r="D195" s="4" t="inlineStr">
        <is>
          <t>25</t>
        </is>
      </c>
      <c r="E195" s="5" t="inlineStr">
        <is>
          <t>3.350,00</t>
        </is>
      </c>
      <c r="F195" s="4" t="inlineStr">
        <is>
          <t>250.00</t>
        </is>
      </c>
    </row>
    <row collapsed="false" customFormat="false" customHeight="false" hidden="false" ht="12.1" outlineLevel="0" r="196">
      <c r="A196" s="5" t="s">
        <f>=HYPERLINK("https://www.leilaoonline.net/lote/detalhe/128962", "855")</f>
      </c>
      <c r="B196" s="4" t="s">
        <f>=HYPERLINK("https://www.leilaoonline.net/lote/detalhe/128962", " MCR-015-2022- 7.780 UNDS.  MASCARA RESPIRADORA TECIDO U, LOC.Corumbá/MS 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500,00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=HYPERLINK("https://www.leilaoonline.net/lote/detalhe/128948", "856")</f>
      </c>
      <c r="B197" s="4" t="s">
        <f>=HYPERLINK("https://www.leilaoonline.net/lote/detalhe/128948", " MCR-016-2022- 25.406 UNDS.  MASCARA RESPIRADORA TECIDO U, LOC.Corumbá/MS  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500,00</t>
        </is>
      </c>
      <c r="F197" s="4" t="inlineStr">
        <is>
          <t>100.00</t>
        </is>
      </c>
    </row>
    <row collapsed="false" customFormat="false" customHeight="false" hidden="false" ht="12.1" outlineLevel="0" r="198">
      <c r="A198" s="5" t="s">
        <f>=HYPERLINK("https://www.leilaoonline.net/lote/detalhe/128954", "857")</f>
      </c>
      <c r="B198" s="4" t="s">
        <f>=HYPERLINK("https://www.leilaoonline.net/lote/detalhe/128954", " MCR-027-2022- 648 ITENS, ANEL , MAÇANETA, VEJA DESCRITIVO DE ITENS, LOC.Corumbá/MS ")</f>
      </c>
      <c r="C198" s="4" t="inlineStr">
        <is>
          <t>Vendido</t>
        </is>
      </c>
      <c r="D198" s="4" t="inlineStr">
        <is>
          <t>1</t>
        </is>
      </c>
      <c r="E198" s="5" t="inlineStr">
        <is>
          <t>500,00</t>
        </is>
      </c>
      <c r="F198" s="4" t="inlineStr">
        <is>
          <t>100.00</t>
        </is>
      </c>
    </row>
    <row collapsed="false" customFormat="false" customHeight="false" hidden="false" ht="12.1" outlineLevel="0" r="199">
      <c r="A199" s="5" t="s">
        <f>=HYPERLINK("https://www.leilaoonline.net/lote/detalhe/128952", "858")</f>
      </c>
      <c r="B199" s="4" t="s">
        <f>=HYPERLINK("https://www.leilaoonline.net/lote/detalhe/128952", " MCR-028-2022, 204 ITENS, ANEIS , CUNHA, VEJA DESCRITIVO DE ITENS, LOC.Corumbá/MS ")</f>
      </c>
      <c r="C199" s="4" t="inlineStr">
        <is>
          <t>Vendido</t>
        </is>
      </c>
      <c r="D199" s="4" t="inlineStr">
        <is>
          <t>1</t>
        </is>
      </c>
      <c r="E199" s="5" t="inlineStr">
        <is>
          <t>500,00</t>
        </is>
      </c>
      <c r="F199" s="4" t="inlineStr">
        <is>
          <t>100.00</t>
        </is>
      </c>
    </row>
    <row collapsed="false" customFormat="false" customHeight="false" hidden="false" ht="12.1" outlineLevel="0" r="200">
      <c r="A200" s="5" t="s">
        <f>=HYPERLINK("https://www.leilaoonline.net/lote/detalhe/128958", "859")</f>
      </c>
      <c r="B200" s="4" t="s">
        <f>=HYPERLINK("https://www.leilaoonline.net/lote/detalhe/128958", " MCR-035-2022- 377 ITENS,  PARAFUSO, ROLAMENTOS,  E OUTROS VEJA DESCRITIVO DE ITENS,  LOC. Corumbá/MS")</f>
      </c>
      <c r="C200" s="4" t="inlineStr">
        <is>
          <t>Vendido</t>
        </is>
      </c>
      <c r="D200" s="4" t="inlineStr">
        <is>
          <t>17</t>
        </is>
      </c>
      <c r="E200" s="5" t="inlineStr">
        <is>
          <t>2.220,00</t>
        </is>
      </c>
      <c r="F200" s="4" t="inlineStr">
        <is>
          <t>250.00</t>
        </is>
      </c>
    </row>
    <row collapsed="false" customFormat="false" customHeight="false" hidden="false" ht="12.1" outlineLevel="0" r="201">
      <c r="A201" s="5" t="s">
        <f>=HYPERLINK("https://www.leilaoonline.net/lote/detalhe/128950", "860")</f>
      </c>
      <c r="B201" s="4" t="s">
        <f>=HYPERLINK("https://www.leilaoonline.net/lote/detalhe/128950", " MCR-036-2022- 194 ITENS, AMOSTRADOR PARA TRANSPORTADOR DE CORREIA, LOC.Corumbá/MS ")</f>
      </c>
      <c r="C201" s="4" t="inlineStr">
        <is>
          <t>Vendido</t>
        </is>
      </c>
      <c r="D201" s="4" t="inlineStr">
        <is>
          <t>3</t>
        </is>
      </c>
      <c r="E201" s="5" t="inlineStr">
        <is>
          <t>712,00</t>
        </is>
      </c>
      <c r="F201" s="4" t="inlineStr">
        <is>
          <t>100.00</t>
        </is>
      </c>
    </row>
    <row collapsed="false" customFormat="false" customHeight="false" hidden="false" ht="12.1" outlineLevel="0" r="202">
      <c r="A202" s="5" t="s">
        <f>=HYPERLINK("https://www.leilaoonline.net/lote/detalhe/128949", "861")</f>
      </c>
      <c r="B202" s="4" t="s">
        <f>=HYPERLINK("https://www.leilaoonline.net/lote/detalhe/128949", " MCR-060-2021, 08 ITENS, PLACAS, BORDA, VEJA DESCRITIVO DE ITENS, LOC.Corumbá/MS ")</f>
      </c>
      <c r="C202" s="4" t="inlineStr">
        <is>
          <t>Vendido</t>
        </is>
      </c>
      <c r="D202" s="4" t="inlineStr">
        <is>
          <t>2</t>
        </is>
      </c>
      <c r="E202" s="5" t="inlineStr">
        <is>
          <t>600,00</t>
        </is>
      </c>
      <c r="F202" s="4" t="inlineStr">
        <is>
          <t>100.00</t>
        </is>
      </c>
    </row>
    <row collapsed="false" customFormat="false" customHeight="false" hidden="false" ht="12.1" outlineLevel="0" r="203">
      <c r="A203" s="5" t="s">
        <f>=HYPERLINK("https://www.leilaoonline.net/lote/detalhe/128964", "862")</f>
      </c>
      <c r="B203" s="4" t="s">
        <f>=HYPERLINK("https://www.leilaoonline.net/lote/detalhe/128964", " MCR-062-2021- 35 ITENS, CADEIRA ASSENTO REDONDO EM FIBRA,  VEJA DESCRITIVO DE ITENS, LOC. Corumbá/MS ")</f>
      </c>
      <c r="C203" s="4" t="inlineStr">
        <is>
          <t>Vendido</t>
        </is>
      </c>
      <c r="D203" s="4" t="inlineStr">
        <is>
          <t>3</t>
        </is>
      </c>
      <c r="E203" s="5" t="inlineStr">
        <is>
          <t>700,00</t>
        </is>
      </c>
      <c r="F203" s="4" t="inlineStr">
        <is>
          <t>100.00</t>
        </is>
      </c>
    </row>
    <row collapsed="false" customFormat="false" customHeight="false" hidden="false" ht="12.1" outlineLevel="0" r="204">
      <c r="A204" s="5" t="s">
        <f>=HYPERLINK("https://www.leilaoonline.net/lote/detalhe/128959", "863")</f>
      </c>
      <c r="B204" s="4" t="s">
        <f>=HYPERLINK("https://www.leilaoonline.net/lote/detalhe/128959", " MCR-063-2021- 23 ITENS, CADEIRA ASSENTO REDONDO EM FIBRA,  VEJA DESCRITIVO DE ITENS, LOC. Corumbá/MS ")</f>
      </c>
      <c r="C204" s="4" t="inlineStr">
        <is>
          <t>Vendido</t>
        </is>
      </c>
      <c r="D204" s="4" t="inlineStr">
        <is>
          <t>1</t>
        </is>
      </c>
      <c r="E204" s="5" t="inlineStr">
        <is>
          <t>500,00</t>
        </is>
      </c>
      <c r="F204" s="4" t="inlineStr">
        <is>
          <t>100.00</t>
        </is>
      </c>
    </row>
    <row collapsed="false" customFormat="false" customHeight="false" hidden="false" ht="12.1" outlineLevel="0" r="205">
      <c r="A205" s="5" t="s">
        <f>=HYPERLINK("https://www.leilaoonline.net/lote/detalhe/128956", "864")</f>
      </c>
      <c r="B205" s="4" t="s">
        <f>=HYPERLINK("https://www.leilaoonline.net/lote/detalhe/128956", " MCR-065-2021- 114 ITENS, DISCO FREIO, FILTRO, ALAVANCA  E OUTROS VEJA DESCRITIVO DE ITENS,  LOC. Corumbá/MS  ")</f>
      </c>
      <c r="C205" s="4" t="inlineStr">
        <is>
          <t>Vendido</t>
        </is>
      </c>
      <c r="D205" s="4" t="inlineStr">
        <is>
          <t>3</t>
        </is>
      </c>
      <c r="E205" s="5" t="inlineStr">
        <is>
          <t>648,00</t>
        </is>
      </c>
      <c r="F205" s="4" t="inlineStr">
        <is>
          <t>100.00</t>
        </is>
      </c>
    </row>
    <row collapsed="false" customFormat="false" customHeight="false" hidden="false" ht="12.1" outlineLevel="0" r="206">
      <c r="A206" s="5" t="s">
        <f>=HYPERLINK("https://www.leilaoonline.net/lote/detalhe/128965", "865")</f>
      </c>
      <c r="B206" s="4" t="s">
        <f>=HYPERLINK("https://www.leilaoonline.net/lote/detalhe/128965", " MCR-067-2021- 47 ITENS, CANTO, CHAPA , POLIA  E OUTROS VEJA DESCRITIVO DE ITENS,  LOC. Corumbá/MS")</f>
      </c>
      <c r="C206" s="4" t="inlineStr">
        <is>
          <t>Não vendido</t>
        </is>
      </c>
      <c r="D206" s="4" t="inlineStr">
        <is>
          <t>12</t>
        </is>
      </c>
      <c r="E206" s="5" t="inlineStr">
        <is>
          <t>2.300,00</t>
        </is>
      </c>
      <c r="F206" s="4" t="inlineStr">
        <is>
          <t>250.00</t>
        </is>
      </c>
    </row>
    <row collapsed="false" customFormat="false" customHeight="false" hidden="false" ht="12.1" outlineLevel="0" r="207">
      <c r="A207" s="5" t="s">
        <f>=HYPERLINK("https://www.leilaoonline.net/lote/detalhe/128963", "866")</f>
      </c>
      <c r="B207" s="4" t="s">
        <f>=HYPERLINK("https://www.leilaoonline.net/lote/detalhe/128963", " MCR-071-2021 - 171 ITENS, FAROL;AUX UNIVERSAL LONGO ALCANCE;5";H3, LOC.Corumbá/MS ")</f>
      </c>
      <c r="C207" s="4" t="inlineStr">
        <is>
          <t>Vendido</t>
        </is>
      </c>
      <c r="D207" s="4" t="inlineStr">
        <is>
          <t>13</t>
        </is>
      </c>
      <c r="E207" s="5" t="inlineStr">
        <is>
          <t>2.000,00</t>
        </is>
      </c>
      <c r="F207" s="4" t="inlineStr">
        <is>
          <t>250.00</t>
        </is>
      </c>
    </row>
    <row collapsed="false" customFormat="false" customHeight="false" hidden="false" ht="12.1" outlineLevel="0" r="208">
      <c r="A208" s="5" t="s">
        <f>=HYPERLINK("https://www.leilaoonline.net/lote/detalhe/128961", "867")</f>
      </c>
      <c r="B208" s="4" t="s">
        <f>=HYPERLINK("https://www.leilaoonline.net/lote/detalhe/128961", " MCR-PGC-032-2022- 51 ITENS, FILTRO, ILUMINAÇÃO  E OUTROS VEJA DESCRITIVO DE ITENS,  LOC. Corumbá/MS")</f>
      </c>
      <c r="C208" s="4" t="inlineStr">
        <is>
          <t>Vendido</t>
        </is>
      </c>
      <c r="D208" s="4" t="inlineStr">
        <is>
          <t>4</t>
        </is>
      </c>
      <c r="E208" s="5" t="inlineStr">
        <is>
          <t>2.110,00</t>
        </is>
      </c>
      <c r="F208" s="4" t="inlineStr">
        <is>
          <t>250.00</t>
        </is>
      </c>
    </row>
    <row collapsed="false" customFormat="false" customHeight="false" hidden="false" ht="12.1" outlineLevel="0" r="209">
      <c r="A209" s="5" t="s">
        <f>=HYPERLINK("https://www.leilaoonline.net/lote/detalhe/128945", "868")</f>
      </c>
      <c r="B209" s="4" t="s">
        <f>=HYPERLINK("https://www.leilaoonline.net/lote/detalhe/128945", " MCR-ZIPI-034-2022- 07 ITENS, CAIXA DE CÂMBIO GRSO 925R, VEJA DESCRITIVO DE ITENS, LOC.Corumbá/MS ")</f>
      </c>
      <c r="C209" s="4" t="inlineStr">
        <is>
          <t>Não vendido</t>
        </is>
      </c>
      <c r="D209" s="4" t="inlineStr">
        <is>
          <t>52</t>
        </is>
      </c>
      <c r="E209" s="5" t="inlineStr">
        <is>
          <t>47.100,10</t>
        </is>
      </c>
      <c r="F209" s="4" t="inlineStr">
        <is>
          <t>1000.00</t>
        </is>
      </c>
    </row>
    <row collapsed="false" customFormat="false" customHeight="false" hidden="false" ht="12.1" outlineLevel="0" r="210">
      <c r="A210" s="5" t="s">
        <f>=HYPERLINK("https://www.leilaoonline.net/lote/detalhe/128946", "869")</f>
      </c>
      <c r="B210" s="4" t="s">
        <f>=HYPERLINK("https://www.leilaoonline.net/lote/detalhe/128946", " MRB-EQ-003-2022- 07 ITENS, LONGARINA 3 LUGARES COM ASSENTO/ENCOSTO EM POLIP., VEJA DESCRITIVO DE ITENS, LOC.MARABÁ/ PA")</f>
      </c>
      <c r="C210" s="4" t="inlineStr">
        <is>
          <t>Vendido</t>
        </is>
      </c>
      <c r="D210" s="4" t="inlineStr">
        <is>
          <t>2</t>
        </is>
      </c>
      <c r="E210" s="5" t="inlineStr">
        <is>
          <t>600,00</t>
        </is>
      </c>
      <c r="F210" s="4" t="inlineStr">
        <is>
          <t>100.00</t>
        </is>
      </c>
    </row>
    <row collapsed="false" customFormat="false" customHeight="false" hidden="false" ht="12.1" outlineLevel="0" r="211">
      <c r="A211" s="5" t="s">
        <f>=HYPERLINK("https://www.leilaoonline.net/lote/detalhe/128953", "870")</f>
      </c>
      <c r="B211" s="4" t="s">
        <f>=HYPERLINK("https://www.leilaoonline.net/lote/detalhe/128953", " MRB-EQ-005-2022- 04 ITENS, MAQUINA DE SOLDA ELETRICA E OUTROS VEJA DESCRITIVO DE ITENS,  LOC. MARABÁ/PA")</f>
      </c>
      <c r="C211" s="4" t="inlineStr">
        <is>
          <t>Vendido</t>
        </is>
      </c>
      <c r="D211" s="4" t="inlineStr">
        <is>
          <t>6</t>
        </is>
      </c>
      <c r="E211" s="5" t="inlineStr">
        <is>
          <t>1.000,00</t>
        </is>
      </c>
      <c r="F211" s="4" t="inlineStr">
        <is>
          <t>100.00</t>
        </is>
      </c>
    </row>
    <row collapsed="false" customFormat="false" customHeight="false" hidden="false" ht="12.1" outlineLevel="0" r="212">
      <c r="A212" s="5" t="s">
        <f>=HYPERLINK("https://www.leilaoonline.net/lote/detalhe/128955", "871")</f>
      </c>
      <c r="B212" s="4" t="s">
        <f>=HYPERLINK("https://www.leilaoonline.net/lote/detalhe/128955", " MRB-EQ-006-2022- 02 ITENS, TELEVISOR LCD 42, CAIXA DE SOM AMPLIFICADA MP 2000 FRAHM, LOC. MARABÁ/PA")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500,00</t>
        </is>
      </c>
      <c r="F212" s="4" t="inlineStr">
        <is>
          <t>100.00</t>
        </is>
      </c>
    </row>
    <row collapsed="false" customFormat="false" customHeight="false" hidden="false" ht="12.1" outlineLevel="0" r="213">
      <c r="A213" s="5" t="s">
        <f>=HYPERLINK("https://www.leilaoonline.net/lote/detalhe/128951", "872")</f>
      </c>
      <c r="B213" s="4" t="s">
        <f>=HYPERLINK("https://www.leilaoonline.net/lote/detalhe/128951", " MRB-MRO-004-2022- 48 ITENS LUVA SG AG QM NBR M K, LOC. MARABÁ-PA")</f>
      </c>
      <c r="C213" s="4" t="inlineStr">
        <is>
          <t>Vendido</t>
        </is>
      </c>
      <c r="D213" s="4" t="inlineStr">
        <is>
          <t>1</t>
        </is>
      </c>
      <c r="E213" s="5" t="inlineStr">
        <is>
          <t>500,00</t>
        </is>
      </c>
      <c r="F213" s="4" t="inlineStr">
        <is>
          <t>100.00</t>
        </is>
      </c>
    </row>
    <row collapsed="false" customFormat="false" customHeight="false" hidden="false" ht="12.1" outlineLevel="0" r="214">
      <c r="A214" s="5" t="s">
        <f>=HYPERLINK("https://www.leilaoonline.net/lote/detalhe/128969", "873")</f>
      </c>
      <c r="B214" s="4" t="s">
        <f>=HYPERLINK("https://www.leilaoonline.net/lote/detalhe/128969", " OIA-001-2022 - 27,72 TON. ALUMINIO CONCENT 97% - MIN DENS.: 2,7T/M3 - LOC. Ourilândia do Norte - PA")</f>
      </c>
      <c r="C214" s="4" t="inlineStr">
        <is>
          <t>Vendido</t>
        </is>
      </c>
      <c r="D214" s="4" t="inlineStr">
        <is>
          <t>184</t>
        </is>
      </c>
      <c r="E214" s="5" t="inlineStr">
        <is>
          <t>207.500,00</t>
        </is>
      </c>
      <c r="F214" s="4" t="inlineStr">
        <is>
          <t>1000.00</t>
        </is>
      </c>
    </row>
    <row collapsed="false" customFormat="false" customHeight="false" hidden="false" ht="12.1" outlineLevel="0" r="215">
      <c r="A215" s="5" t="s">
        <f>=HYPERLINK("https://www.leilaoonline.net/lote/detalhe/128970", "875")</f>
      </c>
      <c r="B215" s="4" t="s">
        <f>=HYPERLINK("https://www.leilaoonline.net/lote/detalhe/128970", " OIA-013-2022 - APROX. 500 ITENS. - LUVA SEGURANCA PARA-ARAMIDA AM 250MM, LENTE OCUL SEGUR POLIC INC ÚNICO; E OUTROS, VEJA DESCRIÇÃO DE ITENS. - LOC. Ourilândia do Norte/PA ")</f>
      </c>
      <c r="C215" s="4" t="inlineStr">
        <is>
          <t>Não vendido</t>
        </is>
      </c>
      <c r="D215" s="4" t="inlineStr">
        <is>
          <t>3</t>
        </is>
      </c>
      <c r="E215" s="5" t="inlineStr">
        <is>
          <t>700,00</t>
        </is>
      </c>
      <c r="F215" s="4" t="inlineStr">
        <is>
          <t>100.00</t>
        </is>
      </c>
    </row>
    <row collapsed="false" customFormat="false" customHeight="false" hidden="false" ht="12.1" outlineLevel="0" r="216">
      <c r="A216" s="5" t="s">
        <f>=HYPERLINK("https://www.leilaoonline.net/lote/detalhe/128974", "876")</f>
      </c>
      <c r="B216" s="4" t="s">
        <f>=HYPERLINK("https://www.leilaoonline.net/lote/detalhe/128974", " OIA-014-2022 - 190 ITENS. - ROLAMENTO ESF 6213U C3 B NSK; ROLAMENTO ESFERAS 6310 SKF; E OUTROS, VEJA DESCRITIVO DE ITENS. - LOC. OURILÂNDIA DO NORTE/PA")</f>
      </c>
      <c r="C216" s="4" t="inlineStr">
        <is>
          <t>Vendido</t>
        </is>
      </c>
      <c r="D216" s="4" t="inlineStr">
        <is>
          <t>9</t>
        </is>
      </c>
      <c r="E216" s="5" t="inlineStr">
        <is>
          <t>1.650,00</t>
        </is>
      </c>
      <c r="F216" s="4" t="inlineStr">
        <is>
          <t>250.00</t>
        </is>
      </c>
    </row>
    <row collapsed="false" customFormat="false" customHeight="false" hidden="false" ht="12.1" outlineLevel="0" r="217">
      <c r="A217" s="5" t="s">
        <f>=HYPERLINK("https://www.leilaoonline.net/lote/detalhe/128975", "877")</f>
      </c>
      <c r="B217" s="4" t="s">
        <f>=HYPERLINK("https://www.leilaoonline.net/lote/detalhe/128975", " OIA-015-2022  - 525 ITENS. - PARAFUSO CAB SEXTAVADA; NORMA CONSTR, ROLAMENTO ESF GE20 KRRB FAFNIR, E OUTROS, VEJA DESCRITIVO DE ITENS. - LOC. OURILÂNDIA DO NORTE/PA")</f>
      </c>
      <c r="C217" s="4" t="inlineStr">
        <is>
          <t>Não vendido</t>
        </is>
      </c>
      <c r="D217" s="4" t="inlineStr">
        <is>
          <t>90</t>
        </is>
      </c>
      <c r="E217" s="5" t="inlineStr">
        <is>
          <t>40.000,00</t>
        </is>
      </c>
      <c r="F217" s="4" t="inlineStr">
        <is>
          <t>1000.00</t>
        </is>
      </c>
    </row>
    <row collapsed="false" customFormat="false" customHeight="false" hidden="false" ht="12.1" outlineLevel="0" r="218">
      <c r="A218" s="5" t="s">
        <f>=HYPERLINK("https://www.leilaoonline.net/lote/detalhe/128967", "878")</f>
      </c>
      <c r="B218" s="4" t="s">
        <f>=HYPERLINK("https://www.leilaoonline.net/lote/detalhe/128967", " OIA-016-2022 - 250 ITENS. - CONECTOR PASSAG 4 MM2 34A 750VCA, ADAPTADOR COMPONENTE - ;00020029 LINCOLN; E OUTROS, VEJA DESCRITIVO DE ITENS. - LOC. OURILÂNDIA DO NOTE/PA")</f>
      </c>
      <c r="C218" s="4" t="inlineStr">
        <is>
          <t>Vendido</t>
        </is>
      </c>
      <c r="D218" s="4" t="inlineStr">
        <is>
          <t>2</t>
        </is>
      </c>
      <c r="E218" s="5" t="inlineStr">
        <is>
          <t>600,00</t>
        </is>
      </c>
      <c r="F218" s="4" t="inlineStr">
        <is>
          <t>100.00</t>
        </is>
      </c>
    </row>
    <row collapsed="false" customFormat="false" customHeight="false" hidden="false" ht="12.1" outlineLevel="0" r="219">
      <c r="A219" s="5" t="s">
        <f>=HYPERLINK("https://www.leilaoonline.net/lote/detalhe/128966", "879")</f>
      </c>
      <c r="B219" s="4" t="s">
        <f>=HYPERLINK("https://www.leilaoonline.net/lote/detalhe/128966", " OIA-017-2022 - 1.450 AVENTAIS SEGUR BARBEIRO UNIC; 330 CAIXAS DE LUVA SG AG QM NBR M K. - LOC. OURILÂNDIA DO NORTE/PA")</f>
      </c>
      <c r="C219" s="4" t="inlineStr">
        <is>
          <t>Não vendido</t>
        </is>
      </c>
      <c r="D219" s="4" t="inlineStr">
        <is>
          <t>5</t>
        </is>
      </c>
      <c r="E219" s="5" t="inlineStr">
        <is>
          <t>900,00</t>
        </is>
      </c>
      <c r="F219" s="4" t="inlineStr">
        <is>
          <t>100.00</t>
        </is>
      </c>
    </row>
    <row collapsed="false" customFormat="false" customHeight="false" hidden="false" ht="12.1" outlineLevel="0" r="220">
      <c r="A220" s="5" t="s">
        <f>=HYPERLINK("https://www.leilaoonline.net/lote/detalhe/128973", "880")</f>
      </c>
      <c r="B220" s="4" t="s">
        <f>=HYPERLINK("https://www.leilaoonline.net/lote/detalhe/128973", " OIA-018-2022  - APROX. 150 ITENS. - REBOLO RETO GC60J5VGW 300X50X32MM CARBOR; TUBO INSTRUMENTACAO 606-309 LECO; E OUTROS, VEJA DESCRITIVO DE ITENS. - LOC. OURILÂNDIA DO NORTE/PA")</f>
      </c>
      <c r="C220" s="4" t="inlineStr">
        <is>
          <t>Vendido</t>
        </is>
      </c>
      <c r="D220" s="4" t="inlineStr">
        <is>
          <t>3</t>
        </is>
      </c>
      <c r="E220" s="5" t="inlineStr">
        <is>
          <t>700,00</t>
        </is>
      </c>
      <c r="F220" s="4" t="inlineStr">
        <is>
          <t>100.00</t>
        </is>
      </c>
    </row>
    <row collapsed="false" customFormat="false" customHeight="false" hidden="false" ht="12.1" outlineLevel="0" r="221">
      <c r="A221" s="5" t="s">
        <f>=HYPERLINK("https://www.leilaoonline.net/lote/detalhe/128972", "882")</f>
      </c>
      <c r="B221" s="4" t="s">
        <f>=HYPERLINK("https://www.leilaoonline.net/lote/detalhe/128972", " OIA-020-2022 - APROX. 1000 ITENS. - BUCHA ISOLANTE 23088353 DEMAG; KIT COMPONENTE; TIP;34.402-8450305 CLARK; E OUTROS, VEJA DESCRITIVO DE ITENS. - LOC. OURILANDIA DO NORTE/PA")</f>
      </c>
      <c r="C221" s="4" t="inlineStr">
        <is>
          <t>Não vendido</t>
        </is>
      </c>
      <c r="D221" s="4" t="inlineStr">
        <is>
          <t>1</t>
        </is>
      </c>
      <c r="E221" s="5" t="inlineStr">
        <is>
          <t>500,00</t>
        </is>
      </c>
      <c r="F221" s="4" t="inlineStr">
        <is>
          <t>100.00</t>
        </is>
      </c>
    </row>
    <row collapsed="false" customFormat="false" customHeight="false" hidden="false" ht="12.1" outlineLevel="0" r="222">
      <c r="A222" s="5" t="s">
        <f>=HYPERLINK("https://www.leilaoonline.net/lote/detalhe/128978", "884")</f>
      </c>
      <c r="B222" s="4" t="s">
        <f>=HYPERLINK("https://www.leilaoonline.net/lote/detalhe/128978", " PIC-327-2022 - APROX. 750 ITENS. - ARRUELA 3B4504 ITALTRACTO; TERMINAL 3236162 CATERPILLAR; E OUTROS, VEJA DESCRITIVO DE ITENS. - LOC. ITABIRITO/MG")</f>
      </c>
      <c r="C222" s="4" t="inlineStr">
        <is>
          <t>Vendido</t>
        </is>
      </c>
      <c r="D222" s="4" t="inlineStr">
        <is>
          <t>3</t>
        </is>
      </c>
      <c r="E222" s="5" t="inlineStr">
        <is>
          <t>1.846,00</t>
        </is>
      </c>
      <c r="F222" s="4" t="inlineStr">
        <is>
          <t>100.00</t>
        </is>
      </c>
    </row>
    <row collapsed="false" customFormat="false" customHeight="false" hidden="false" ht="12.1" outlineLevel="0" r="223">
      <c r="A223" s="5" t="s">
        <f>=HYPERLINK("https://www.leilaoonline.net/lote/detalhe/128985", "885")</f>
      </c>
      <c r="B223" s="4" t="s">
        <f>=HYPERLINK("https://www.leilaoonline.net/lote/detalhe/128985", " PIC-329-2022 - APROX. 10.000 UM. DE MASCARA RESPIRADORA TECIDO U. - LOC. ITABIRITO/MG")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500,00</t>
        </is>
      </c>
      <c r="F223" s="4" t="inlineStr">
        <is>
          <t>100.00</t>
        </is>
      </c>
    </row>
    <row collapsed="false" customFormat="false" customHeight="false" hidden="false" ht="12.1" outlineLevel="0" r="224">
      <c r="A224" s="5" t="s">
        <f>=HYPERLINK("https://www.leilaoonline.net/lote/detalhe/128986", "886")</f>
      </c>
      <c r="B224" s="4" t="s">
        <f>=HYPERLINK("https://www.leilaoonline.net/lote/detalhe/128986", " PIC-330-2022 - 50 ITENS. - CAIXA ROLAMENTO; TIPO CAIXA: BIPARTIDO 3; BUCHA H80C47 WEIR; E OUTROS, VEJA DESCRITIVO DE ITENS. - LOC. ITABIRITO/MG")</f>
      </c>
      <c r="C224" s="4" t="inlineStr">
        <is>
          <t>Vendido</t>
        </is>
      </c>
      <c r="D224" s="4" t="inlineStr">
        <is>
          <t>1</t>
        </is>
      </c>
      <c r="E224" s="5" t="inlineStr">
        <is>
          <t>500,00</t>
        </is>
      </c>
      <c r="F224" s="4" t="inlineStr">
        <is>
          <t>100.00</t>
        </is>
      </c>
    </row>
    <row collapsed="false" customFormat="false" customHeight="false" hidden="false" ht="12.1" outlineLevel="0" r="225">
      <c r="A225" s="5" t="s">
        <f>=HYPERLINK("https://www.leilaoonline.net/lote/detalhe/128989", "887")</f>
      </c>
      <c r="B225" s="4" t="s">
        <f>=HYPERLINK("https://www.leilaoonline.net/lote/detalhe/128989", " PIC-338-2022 - 100 ITENS. - CAIXA ROLAM AC 150MM; REDUTOR VELOCIDADE; POSICAO EIXO ENTRADA; E OUTROS, VEJA DESCRITIVO DE ITENS. - LOC. ITABIRITO/MG")</f>
      </c>
      <c r="C225" s="4" t="inlineStr">
        <is>
          <t>Não vendido</t>
        </is>
      </c>
      <c r="D225" s="4" t="inlineStr">
        <is>
          <t>18</t>
        </is>
      </c>
      <c r="E225" s="5" t="inlineStr">
        <is>
          <t>5.600,00</t>
        </is>
      </c>
      <c r="F225" s="4" t="inlineStr">
        <is>
          <t>250.00</t>
        </is>
      </c>
    </row>
    <row collapsed="false" customFormat="false" customHeight="false" hidden="false" ht="12.1" outlineLevel="0" r="226">
      <c r="A226" s="5" t="s">
        <f>=HYPERLINK("https://www.leilaoonline.net/lote/detalhe/128983", "888")</f>
      </c>
      <c r="B226" s="4" t="s">
        <f>=HYPERLINK("https://www.leilaoonline.net/lote/detalhe/128983", " PIC-339-2022 - 70 ITENS. - VALVULA ESF 1POL 2000PSI FM NPT, V; E OUTROS, VEJA DESCRITIVO DE ITENS. - LOC. ITABIRITO/MG")</f>
      </c>
      <c r="C226" s="4" t="inlineStr">
        <is>
          <t>Vendido</t>
        </is>
      </c>
      <c r="D226" s="4" t="inlineStr">
        <is>
          <t>3</t>
        </is>
      </c>
      <c r="E226" s="5" t="inlineStr">
        <is>
          <t>1.332,00</t>
        </is>
      </c>
      <c r="F226" s="4" t="inlineStr">
        <is>
          <t>100.00</t>
        </is>
      </c>
    </row>
    <row collapsed="false" customFormat="false" customHeight="false" hidden="false" ht="12.1" outlineLevel="0" r="227">
      <c r="A227" s="5" t="s">
        <f>=HYPERLINK("https://www.leilaoonline.net/lote/detalhe/128981", "889")</f>
      </c>
      <c r="B227" s="4" t="s">
        <f>=HYPERLINK("https://www.leilaoonline.net/lote/detalhe/128981", " PIC-341-2022 - 500 ITENS. - TELA PEN NAO MET 43M3/H; ESTOJO 8E686001 DORR OLIVER; E OUTROS, VEJA DESCRITIVO DE ITENS. - LOC. ITABIRITO/MG")</f>
      </c>
      <c r="C227" s="4" t="inlineStr">
        <is>
          <t>Não vendido</t>
        </is>
      </c>
      <c r="D227" s="4" t="inlineStr">
        <is>
          <t>7</t>
        </is>
      </c>
      <c r="E227" s="5" t="inlineStr">
        <is>
          <t>1.100,00</t>
        </is>
      </c>
      <c r="F227" s="4" t="inlineStr">
        <is>
          <t>100.00</t>
        </is>
      </c>
    </row>
    <row collapsed="false" customFormat="false" customHeight="false" hidden="false" ht="12.1" outlineLevel="0" r="228">
      <c r="A228" s="5" t="s">
        <f>=HYPERLINK("https://www.leilaoonline.net/lote/detalhe/128979", "890")</f>
      </c>
      <c r="B228" s="4" t="s">
        <f>=HYPERLINK("https://www.leilaoonline.net/lote/detalhe/128979", " PIC-345-2022 - 25 ITENS. - MOLA CATERPILLAR, GANCHO CATERPILLAR; E OUTROS, VEJA DESCRITIVO DE ITENS. - LOC. ITABIRITO/MG")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500,00</t>
        </is>
      </c>
      <c r="F228" s="4" t="inlineStr">
        <is>
          <t>100.00</t>
        </is>
      </c>
    </row>
    <row collapsed="false" customFormat="false" customHeight="false" hidden="false" ht="12.1" outlineLevel="0" r="229">
      <c r="A229" s="5" t="s">
        <f>=HYPERLINK("https://www.leilaoonline.net/lote/detalhe/128980", "891")</f>
      </c>
      <c r="B229" s="4" t="s">
        <f>=HYPERLINK("https://www.leilaoonline.net/lote/detalhe/128980", " PIC-346-2022 - 150 ITENS. - JUNTA 2P3705, SENSOR GP CATERPILLAR; E OUTROS, VEJA DESCRITIVO DE ITENS. - LOC. ITABIRITO/MG")</f>
      </c>
      <c r="C229" s="4" t="inlineStr">
        <is>
          <t>Não vendido</t>
        </is>
      </c>
      <c r="D229" s="4" t="inlineStr">
        <is>
          <t>8</t>
        </is>
      </c>
      <c r="E229" s="5" t="inlineStr">
        <is>
          <t>1.200,00</t>
        </is>
      </c>
      <c r="F229" s="4" t="inlineStr">
        <is>
          <t>100.00</t>
        </is>
      </c>
    </row>
    <row collapsed="false" customFormat="false" customHeight="false" hidden="false" ht="12.1" outlineLevel="0" r="230">
      <c r="A230" s="5" t="s">
        <f>=HYPERLINK("https://www.leilaoonline.net/lote/detalhe/128977", "892")</f>
      </c>
      <c r="B230" s="4" t="s">
        <f>=HYPERLINK("https://www.leilaoonline.net/lote/detalhe/128977", " PIC-347-2022  - 200 itens. - ELEMENTO FILTRO FLUIDO 20MIC, CORREIA V LISA 5/16POL 1/2POL A; E OUTROS, VEJA DESCRITIVO DE ITENS. - LOC. ITABIRITO/MG")</f>
      </c>
      <c r="C230" s="4" t="inlineStr">
        <is>
          <t>Não vendido</t>
        </is>
      </c>
      <c r="D230" s="4" t="inlineStr">
        <is>
          <t>22</t>
        </is>
      </c>
      <c r="E230" s="5" t="inlineStr">
        <is>
          <t>5.050,00</t>
        </is>
      </c>
      <c r="F230" s="4" t="inlineStr">
        <is>
          <t>250.00</t>
        </is>
      </c>
    </row>
    <row collapsed="false" customFormat="false" customHeight="false" hidden="false" ht="12.1" outlineLevel="0" r="231">
      <c r="A231" s="5" t="s">
        <f>=HYPERLINK("https://www.leilaoonline.net/lote/detalhe/128990", "893")</f>
      </c>
      <c r="B231" s="4" t="s">
        <f>=HYPERLINK("https://www.leilaoonline.net/lote/detalhe/128990", " PIC-348-2022  - 150 ITENS. - VEDAC 2720759 CATERPILLAR 2082363; PORCA SEXT 1440806 CATERPILLAR; E OUTROS, VEJA DECRITIVO DE ITENS. - LOC.ITABIRITO/MG")</f>
      </c>
      <c r="C231" s="4" t="inlineStr">
        <is>
          <t>Não vendido</t>
        </is>
      </c>
      <c r="D231" s="4" t="inlineStr">
        <is>
          <t>4</t>
        </is>
      </c>
      <c r="E231" s="5" t="inlineStr">
        <is>
          <t>1.200,00</t>
        </is>
      </c>
      <c r="F231" s="4" t="inlineStr">
        <is>
          <t>100.00</t>
        </is>
      </c>
    </row>
    <row collapsed="false" customFormat="false" customHeight="false" hidden="false" ht="12.1" outlineLevel="0" r="232">
      <c r="A232" s="5" t="s">
        <f>=HYPERLINK("https://www.leilaoonline.net/lote/detalhe/128982", "894")</f>
      </c>
      <c r="B232" s="4" t="s">
        <f>=HYPERLINK("https://www.leilaoonline.net/lote/detalhe/128982", " PIC-349-2022 - 60 ITENS - ACOPLADOR HIDRAULICO AC 1/8NPT, BICO INJETOR 3062092 CUMMINS; E OUTROS, VEJA DESCRITIVO DE ITENS. - LOC. ITABIRITO/MG")</f>
      </c>
      <c r="C232" s="4" t="inlineStr">
        <is>
          <t>Vendido</t>
        </is>
      </c>
      <c r="D232" s="4" t="inlineStr">
        <is>
          <t>5</t>
        </is>
      </c>
      <c r="E232" s="5" t="inlineStr">
        <is>
          <t>2.005,00</t>
        </is>
      </c>
      <c r="F232" s="4" t="inlineStr">
        <is>
          <t>100.00</t>
        </is>
      </c>
    </row>
    <row collapsed="false" customFormat="false" customHeight="false" hidden="false" ht="12.1" outlineLevel="0" r="233">
      <c r="A233" s="5" t="s">
        <f>=HYPERLINK("https://www.leilaoonline.net/lote/detalhe/128984", "895")</f>
      </c>
      <c r="B233" s="4" t="s">
        <f>=HYPERLINK("https://www.leilaoonline.net/lote/detalhe/128984", " PIC-350-2022 - 350 ITENS. - PINO GRAXEIRO 5/16POL UNF, FUSIVEL NH 500V 80A 120KA; E OUTROS, VEJA DESCRITIVO DE ITENS. - LOC. ITABIRITO/MG")</f>
      </c>
      <c r="C233" s="4" t="inlineStr">
        <is>
          <t>Não vendido</t>
        </is>
      </c>
      <c r="D233" s="4" t="inlineStr">
        <is>
          <t>2</t>
        </is>
      </c>
      <c r="E233" s="5" t="inlineStr">
        <is>
          <t>1.000,00</t>
        </is>
      </c>
      <c r="F233" s="4" t="inlineStr">
        <is>
          <t>100.00</t>
        </is>
      </c>
    </row>
    <row collapsed="false" customFormat="false" customHeight="false" hidden="false" ht="12.1" outlineLevel="0" r="234">
      <c r="A234" s="5" t="s">
        <f>=HYPERLINK("https://www.leilaoonline.net/lote/detalhe/128988", "896")</f>
      </c>
      <c r="B234" s="4" t="s">
        <f>=HYPERLINK("https://www.leilaoonline.net/lote/detalhe/128988", " PIC-351 2022 - 200 ITENS. - RETENTOR 1672228 CATERPILLAR; ANEL O 1523679 CATERPILLAR E OUTROS, VEJA DESCRITIVO DE ITENS. - LOC. ITABIRITO/MG")</f>
      </c>
      <c r="C234" s="4" t="inlineStr">
        <is>
          <t>Não vendido</t>
        </is>
      </c>
      <c r="D234" s="4" t="inlineStr">
        <is>
          <t>1</t>
        </is>
      </c>
      <c r="E234" s="5" t="inlineStr">
        <is>
          <t>500,00</t>
        </is>
      </c>
      <c r="F234" s="4" t="inlineStr">
        <is>
          <t>100.00</t>
        </is>
      </c>
    </row>
    <row collapsed="false" customFormat="false" customHeight="false" hidden="false" ht="12.1" outlineLevel="0" r="235">
      <c r="A235" s="5" t="s">
        <f>=HYPERLINK("https://www.leilaoonline.net/lote/detalhe/128987", "897")</f>
      </c>
      <c r="B235" s="4" t="s">
        <f>=HYPERLINK("https://www.leilaoonline.net/lote/detalhe/128987", " PIC-352 2022 - 150 ITENS. - ANEL 5S7779 CATERPILLAR; ADAPTADOR 3028255 CATERPILLAR; E OUTROS; VEJA DESCRITIVO DE ITENS. - LOC. ITABIRITO/MG")</f>
      </c>
      <c r="C235" s="4" t="inlineStr">
        <is>
          <t>Não vendido</t>
        </is>
      </c>
      <c r="D235" s="4" t="inlineStr">
        <is>
          <t>6</t>
        </is>
      </c>
      <c r="E235" s="5" t="inlineStr">
        <is>
          <t>1.000,00</t>
        </is>
      </c>
      <c r="F235" s="4" t="inlineStr">
        <is>
          <t>100.00</t>
        </is>
      </c>
    </row>
    <row collapsed="false" customFormat="false" customHeight="false" hidden="false" ht="12.1" outlineLevel="0" r="236">
      <c r="A236" s="5" t="s">
        <f>=HYPERLINK("https://www.leilaoonline.net/lote/detalhe/128991", "898")</f>
      </c>
      <c r="B236" s="4" t="s">
        <f>=HYPERLINK("https://www.leilaoonline.net/lote/detalhe/128991", " PIC-353-2022 - 100 ITENS. - PARAFUSO CAB SEXT 1POL, ARRUELA 1984778 CATERPILLAR; E OUTROS, VEJA DESCRITIVO DE ITENS. - LOC. ITABIRITO/MG ")</f>
      </c>
      <c r="C236" s="4" t="inlineStr">
        <is>
          <t>Não vendido</t>
        </is>
      </c>
      <c r="D236" s="4" t="inlineStr">
        <is>
          <t>5</t>
        </is>
      </c>
      <c r="E236" s="5" t="inlineStr">
        <is>
          <t>900,00</t>
        </is>
      </c>
      <c r="F236" s="4" t="inlineStr">
        <is>
          <t>100.00</t>
        </is>
      </c>
    </row>
    <row collapsed="false" customFormat="false" customHeight="false" hidden="false" ht="12.1" outlineLevel="0" r="237">
      <c r="A237" s="5" t="s">
        <f>=HYPERLINK("https://www.leilaoonline.net/lote/detalhe/128995", "899")</f>
      </c>
      <c r="B237" s="4" t="s">
        <f>=HYPERLINK("https://www.leilaoonline.net/lote/detalhe/128995", " S11D-002-2022-MRO - 2000 ITENS. - VALVULA ALIVIO SEGURANÇA 3/4POL; LAMINA RASPADORA RETANGULAR, 165MM; E OUTROS; VEJA DESCRITIVO DE ITENS. - LOC. CANAA DOS CARAJAS/PA")</f>
      </c>
      <c r="C237" s="4" t="inlineStr">
        <is>
          <t>Vendido</t>
        </is>
      </c>
      <c r="D237" s="4" t="inlineStr">
        <is>
          <t>4</t>
        </is>
      </c>
      <c r="E237" s="5" t="inlineStr">
        <is>
          <t>3.172,00</t>
        </is>
      </c>
      <c r="F237" s="4" t="inlineStr">
        <is>
          <t>100.00</t>
        </is>
      </c>
    </row>
    <row collapsed="false" customFormat="false" customHeight="false" hidden="false" ht="12.1" outlineLevel="0" r="238">
      <c r="A238" s="5" t="s">
        <f>=HYPERLINK("https://www.leilaoonline.net/lote/detalhe/129003", "900")</f>
      </c>
      <c r="B238" s="4" t="s">
        <f>=HYPERLINK("https://www.leilaoonline.net/lote/detalhe/129003", " S11D-003-2022-MRO - APROX. 80.660 MASCARA RESPIRADORA TECIDO U - LOC. CANAÃ DOS CARAJAS/PA")</f>
      </c>
      <c r="C238" s="4" t="inlineStr">
        <is>
          <t>Não vendido</t>
        </is>
      </c>
      <c r="D238" s="4" t="inlineStr">
        <is>
          <t>8</t>
        </is>
      </c>
      <c r="E238" s="5" t="inlineStr">
        <is>
          <t>1.200,00</t>
        </is>
      </c>
      <c r="F238" s="4" t="inlineStr">
        <is>
          <t>100.00</t>
        </is>
      </c>
    </row>
    <row collapsed="false" customFormat="false" customHeight="false" hidden="false" ht="12.1" outlineLevel="0" r="239">
      <c r="A239" s="5" t="s">
        <f>=HYPERLINK("https://www.leilaoonline.net/lote/detalhe/128999", "901")</f>
      </c>
      <c r="B239" s="4" t="s">
        <f>=HYPERLINK("https://www.leilaoonline.net/lote/detalhe/128999", " SLB-009-2022 - 3 BOMBA DIESEL - LOC. MARABÁ/PA")</f>
      </c>
      <c r="C239" s="4" t="inlineStr">
        <is>
          <t>Vendido</t>
        </is>
      </c>
      <c r="D239" s="4" t="inlineStr">
        <is>
          <t>32</t>
        </is>
      </c>
      <c r="E239" s="5" t="inlineStr">
        <is>
          <t>10.450,00</t>
        </is>
      </c>
      <c r="F239" s="4" t="inlineStr">
        <is>
          <t>500.00</t>
        </is>
      </c>
    </row>
    <row collapsed="false" customFormat="false" customHeight="false" hidden="false" ht="12.1" outlineLevel="0" r="240">
      <c r="A240" s="5" t="s">
        <f>=HYPERLINK("https://www.leilaoonline.net/lote/detalhe/129006", "902")</f>
      </c>
      <c r="B240" s="4" t="s">
        <f>=HYPERLINK("https://www.leilaoonline.net/lote/detalhe/129006", " SLB-012-2022 - 95 ITENS. - ELEMENTO FILTRANTE 17-107-488-002 METSO, ANTENA TR WIFI DIREC -0,01A 1KHZ;  E OUTROS, VEJA DESCRITIVO DE ITENS. - LOC. MARABÁ/PA")</f>
      </c>
      <c r="C240" s="4" t="inlineStr">
        <is>
          <t>Não vendido</t>
        </is>
      </c>
      <c r="D240" s="4" t="inlineStr">
        <is>
          <t>2</t>
        </is>
      </c>
      <c r="E240" s="5" t="inlineStr">
        <is>
          <t>600,00</t>
        </is>
      </c>
      <c r="F240" s="4" t="inlineStr">
        <is>
          <t>100.00</t>
        </is>
      </c>
    </row>
    <row collapsed="false" customFormat="false" customHeight="false" hidden="false" ht="12.1" outlineLevel="0" r="241">
      <c r="A241" s="5" t="s">
        <f>=HYPERLINK("https://www.leilaoonline.net/lote/detalhe/129000", "903")</f>
      </c>
      <c r="B241" s="4" t="s">
        <f>=HYPERLINK("https://www.leilaoonline.net/lote/detalhe/129000", " SLB-013-2022 - 140 ITENS. - TUBO COMPONENT;902953A FLSMIDTH MINERALS; FILTRO FLUID OLEO COMBUS. E OUTROS, VEJAD ESCRITIVO DE ITENS. - LOC. MARABÁ/PA")</f>
      </c>
      <c r="C241" s="4" t="inlineStr">
        <is>
          <t>Vendido</t>
        </is>
      </c>
      <c r="D241" s="4" t="inlineStr">
        <is>
          <t>7</t>
        </is>
      </c>
      <c r="E241" s="5" t="inlineStr">
        <is>
          <t>4.835,00</t>
        </is>
      </c>
      <c r="F241" s="4" t="inlineStr">
        <is>
          <t>100.00</t>
        </is>
      </c>
    </row>
    <row collapsed="false" customFormat="false" customHeight="false" hidden="false" ht="12.1" outlineLevel="0" r="242">
      <c r="A242" s="5" t="s">
        <f>=HYPERLINK("https://www.leilaoonline.net/lote/detalhe/128997", "904")</f>
      </c>
      <c r="B242" s="4" t="s">
        <f>=HYPERLINK("https://www.leilaoonline.net/lote/detalhe/128997", " SLB-014-2022 - 100 ITENS. - ESCOVA 467-1015 CATERPILLAR, ROLAMENTO 23052 CC W33 SKF; E OUTROS, VEJA DESCRITIVO DE ITENS. - LOC. MARABÁ/PA")</f>
      </c>
      <c r="C242" s="4" t="inlineStr">
        <is>
          <t>Vendido</t>
        </is>
      </c>
      <c r="D242" s="4" t="inlineStr">
        <is>
          <t>48</t>
        </is>
      </c>
      <c r="E242" s="5" t="inlineStr">
        <is>
          <t>9.300,00</t>
        </is>
      </c>
      <c r="F242" s="4" t="inlineStr">
        <is>
          <t>500.00</t>
        </is>
      </c>
    </row>
    <row collapsed="false" customFormat="false" customHeight="false" hidden="false" ht="12.1" outlineLevel="0" r="243">
      <c r="A243" s="5" t="s">
        <f>=HYPERLINK("https://www.leilaoonline.net/lote/detalhe/129007", "905")</f>
      </c>
      <c r="B243" s="4" t="s">
        <f>=HYPERLINK("https://www.leilaoonline.net/lote/detalhe/129007", " SLB-015-2022  - 100 ITENS. - CABO ELETRICO COM CONEXOES107327, MASTRO-RETRATIL 106150 MODULAR; E OUTROS, VEJA DESCRITIVO DE ITENS. - LOC. MARABÁ/PA")</f>
      </c>
      <c r="C243" s="4" t="inlineStr">
        <is>
          <t>Não vendido</t>
        </is>
      </c>
      <c r="D243" s="4" t="inlineStr">
        <is>
          <t>2</t>
        </is>
      </c>
      <c r="E243" s="5" t="inlineStr">
        <is>
          <t>1.000,00</t>
        </is>
      </c>
      <c r="F243" s="4" t="inlineStr">
        <is>
          <t>100.00</t>
        </is>
      </c>
    </row>
    <row collapsed="false" customFormat="false" customHeight="false" hidden="false" ht="12.1" outlineLevel="0" r="244">
      <c r="A244" s="5" t="s">
        <f>=HYPERLINK("https://www.leilaoonline.net/lote/detalhe/128998", "906")</f>
      </c>
      <c r="B244" s="4" t="s">
        <f>=HYPERLINK("https://www.leilaoonline.net/lote/detalhe/128998", " SLB-017-2022 - 8 ITENS. - MEDIDOR DE ESPESSURA ULTRASSONICO, TERMOMETRO DIGITAL RAYTEC - NF 4890; E OUTROS , VEJA DECRITIVO DE ITENS. - LOC. MARABÁ/PA")</f>
      </c>
      <c r="C244" s="4" t="inlineStr">
        <is>
          <t>Não vendido</t>
        </is>
      </c>
      <c r="D244" s="4" t="inlineStr">
        <is>
          <t>18</t>
        </is>
      </c>
      <c r="E244" s="5" t="inlineStr">
        <is>
          <t>2.500,00</t>
        </is>
      </c>
      <c r="F244" s="4" t="inlineStr">
        <is>
          <t>250.00</t>
        </is>
      </c>
    </row>
    <row collapsed="false" customFormat="false" customHeight="false" hidden="false" ht="12.1" outlineLevel="0" r="245">
      <c r="A245" s="5" t="s">
        <f>=HYPERLINK("https://www.leilaoonline.net/lote/detalhe/128996", "907")</f>
      </c>
      <c r="B245" s="4" t="s">
        <f>=HYPERLINK("https://www.leilaoonline.net/lote/detalhe/128996", " SLB-018-2022 - 30 PLATAFORMA METALICA FIXA. - LOC. MARABÁ/PA")</f>
      </c>
      <c r="C245" s="4" t="inlineStr">
        <is>
          <t>Não vendido</t>
        </is>
      </c>
      <c r="D245" s="4" t="inlineStr">
        <is>
          <t>10</t>
        </is>
      </c>
      <c r="E245" s="5" t="inlineStr">
        <is>
          <t>3.350,00</t>
        </is>
      </c>
      <c r="F245" s="4" t="inlineStr">
        <is>
          <t>250.00</t>
        </is>
      </c>
    </row>
    <row collapsed="false" customFormat="false" customHeight="false" hidden="false" ht="12.1" outlineLevel="0" r="246">
      <c r="A246" s="5" t="s">
        <f>=HYPERLINK("https://www.leilaoonline.net/lote/detalhe/129002", "908")</f>
      </c>
      <c r="B246" s="4" t="s">
        <f>=HYPERLINK("https://www.leilaoonline.net/lote/detalhe/129002", " SLB-020-2022 - 130 ITENS. - RELE 3BHD002791R0006 ABB; JOGO MANUTENCAO;2189425;SCANIA; E OUTROS, VEJA DESCRITIVO DE ITENS. - LOC. MARABÁ/PA")</f>
      </c>
      <c r="C246" s="4" t="inlineStr">
        <is>
          <t>Não vendido</t>
        </is>
      </c>
      <c r="D246" s="4" t="inlineStr">
        <is>
          <t>13</t>
        </is>
      </c>
      <c r="E246" s="5" t="inlineStr">
        <is>
          <t>4.000,00</t>
        </is>
      </c>
      <c r="F246" s="4" t="inlineStr">
        <is>
          <t>250.00</t>
        </is>
      </c>
    </row>
    <row collapsed="false" customFormat="false" customHeight="false" hidden="false" ht="12.1" outlineLevel="0" r="247">
      <c r="A247" s="5" t="s">
        <f>=HYPERLINK("https://www.leilaoonline.net/lote/detalhe/129004", "909")</f>
      </c>
      <c r="B247" s="4" t="s">
        <f>=HYPERLINK("https://www.leilaoonline.net/lote/detalhe/129004", " SLB-021-2022 - 340 ITENS. - ANEL 3633001 KOMATSU, PARAFUSO 00-920144-761 METSO; E OUTROS, VEJA DESCRITIVO DE ITENS. - LOC. MARABÁ/PA")</f>
      </c>
      <c r="C247" s="4" t="inlineStr">
        <is>
          <t>Não vendido</t>
        </is>
      </c>
      <c r="D247" s="4" t="inlineStr">
        <is>
          <t>11</t>
        </is>
      </c>
      <c r="E247" s="5" t="inlineStr">
        <is>
          <t>2.750,00</t>
        </is>
      </c>
      <c r="F247" s="4" t="inlineStr">
        <is>
          <t>250.00</t>
        </is>
      </c>
    </row>
    <row collapsed="false" customFormat="false" customHeight="false" hidden="false" ht="12.1" outlineLevel="0" r="248">
      <c r="A248" s="5" t="s">
        <f>=HYPERLINK("https://www.leilaoonline.net/lote/detalhe/129001", "910")</f>
      </c>
      <c r="B248" s="4" t="s">
        <f>=HYPERLINK("https://www.leilaoonline.net/lote/detalhe/129001", " SLB-022-2022 - APROX. 19.820 MASCARA RESPIRADORA TECIDO U. - LOC. MARABÁ/PA")</f>
      </c>
      <c r="C248" s="4" t="inlineStr">
        <is>
          <t>Não vendido</t>
        </is>
      </c>
      <c r="D248" s="4" t="inlineStr">
        <is>
          <t>1</t>
        </is>
      </c>
      <c r="E248" s="5" t="inlineStr">
        <is>
          <t>500,00</t>
        </is>
      </c>
      <c r="F248" s="4" t="inlineStr">
        <is>
          <t>100.00</t>
        </is>
      </c>
    </row>
    <row collapsed="false" customFormat="false" customHeight="false" hidden="false" ht="12.1" outlineLevel="0" r="249">
      <c r="A249" s="5" t="s">
        <f>=HYPERLINK("https://www.leilaoonline.net/lote/detalhe/129005", "911")</f>
      </c>
      <c r="B249" s="4" t="s">
        <f>=HYPERLINK("https://www.leilaoonline.net/lote/detalhe/129005", " SLB-023-2022  - 27 ITENS. - ESTUFA DE SECAGEM DE VIDRARIA FR 6009-08; ESTUFA DE SECAGEM DE VIDRARIA FR 6009-09; E OUTROS, VEJA DECRITIVO DE ITENS. - LOC. MARABÁ/PA")</f>
      </c>
      <c r="C249" s="4" t="inlineStr">
        <is>
          <t>Não vendido</t>
        </is>
      </c>
      <c r="D249" s="4" t="inlineStr">
        <is>
          <t>1</t>
        </is>
      </c>
      <c r="E249" s="5" t="inlineStr">
        <is>
          <t>500,00</t>
        </is>
      </c>
      <c r="F249" s="4" t="inlineStr">
        <is>
          <t>100.00</t>
        </is>
      </c>
    </row>
    <row collapsed="false" customFormat="false" customHeight="false" hidden="false" ht="12.1" outlineLevel="0" r="250">
      <c r="A250" s="5" t="s">
        <f>=HYPERLINK("https://www.leilaoonline.net/lote/detalhe/129011", "912")</f>
      </c>
      <c r="B250" s="4" t="s">
        <f>=HYPERLINK("https://www.leilaoonline.net/lote/detalhe/129011", " TIG-001-2022- 35 ITENS, LAMPADA FLUORESCENTE, ELEMENTOS E OUTROS - VEJA DESCRITIVO DE ITENS - LOC. MANGARATIBA - RIO DE JANEIRO")</f>
      </c>
      <c r="C250" s="4" t="inlineStr">
        <is>
          <t>Não vendido</t>
        </is>
      </c>
      <c r="D250" s="4" t="inlineStr">
        <is>
          <t>1</t>
        </is>
      </c>
      <c r="E250" s="5" t="inlineStr">
        <is>
          <t>500,00</t>
        </is>
      </c>
      <c r="F250" s="4" t="inlineStr">
        <is>
          <t>100.00</t>
        </is>
      </c>
    </row>
    <row collapsed="false" customFormat="false" customHeight="false" hidden="false" ht="12.1" outlineLevel="0" r="251">
      <c r="A251" s="5" t="s">
        <f>=HYPERLINK("https://www.leilaoonline.net/lote/detalhe/129012", "913")</f>
      </c>
      <c r="B251" s="4" t="s">
        <f>=HYPERLINK("https://www.leilaoonline.net/lote/detalhe/129012", " TIG-004-2022- 20.300 UNDS, MASCARA RESPIRADORA TECIDO U , LOC.MANGARATIBA - RIO DE JANEIRO")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500,00</t>
        </is>
      </c>
      <c r="F251" s="4" t="inlineStr">
        <is>
          <t>100.00</t>
        </is>
      </c>
    </row>
    <row collapsed="false" customFormat="false" customHeight="false" hidden="false" ht="12.1" outlineLevel="0" r="252">
      <c r="A252" s="5" t="s">
        <f>=HYPERLINK("https://www.leilaoonline.net/lote/detalhe/129014", "914")</f>
      </c>
      <c r="B252" s="4" t="s">
        <f>=HYPERLINK("https://www.leilaoonline.net/lote/detalhe/129014", " TIG-005-2022- 1403 ITENS, PARAFUSOS, SENSORES E OUTROS - VEJA DESCRITIVO DE ITENS - LOC. MANGARATIBA - RIO DE JANEIRO")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500,00</t>
        </is>
      </c>
      <c r="F252" s="4" t="inlineStr">
        <is>
          <t>100.00</t>
        </is>
      </c>
    </row>
    <row collapsed="false" customFormat="false" customHeight="false" hidden="false" ht="12.1" outlineLevel="0" r="253">
      <c r="A253" s="5" t="s">
        <f>=HYPERLINK("https://www.leilaoonline.net/lote/detalhe/129015", "915")</f>
      </c>
      <c r="B253" s="4" t="s">
        <f>=HYPERLINK("https://www.leilaoonline.net/lote/detalhe/129015", " TIG-008-2022-3.495 ITENS, PORCAS, PARAFUSOS, LAMPADAS E OUTROS - VEJA DESCRITIVO DE ITENS - LOC. MANGARATIBA - RIO DE JANEIRO")</f>
      </c>
      <c r="C253" s="4" t="inlineStr">
        <is>
          <t>Não vendido</t>
        </is>
      </c>
      <c r="D253" s="4" t="inlineStr">
        <is>
          <t>26</t>
        </is>
      </c>
      <c r="E253" s="5" t="inlineStr">
        <is>
          <t>4.350,00</t>
        </is>
      </c>
      <c r="F253" s="4" t="inlineStr">
        <is>
          <t>250.00</t>
        </is>
      </c>
    </row>
    <row collapsed="false" customFormat="false" customHeight="false" hidden="false" ht="12.1" outlineLevel="0" r="254">
      <c r="A254" s="5" t="s">
        <f>=HYPERLINK("https://www.leilaoonline.net/lote/detalhe/129016", "916")</f>
      </c>
      <c r="B254" s="4" t="s">
        <f>=HYPERLINK("https://www.leilaoonline.net/lote/detalhe/129016", " TIG-011-2022- 172 ITENS, BOTÃO COMANDO, CONECTOR E OUTROS - VEJA DESCRITIVO DE ITENS - LOC. MANGARATIBA - RIO DE JANEIRO")</f>
      </c>
      <c r="C254" s="4" t="inlineStr">
        <is>
          <t>Vendido</t>
        </is>
      </c>
      <c r="D254" s="4" t="inlineStr">
        <is>
          <t>1</t>
        </is>
      </c>
      <c r="E254" s="5" t="inlineStr">
        <is>
          <t>500,00</t>
        </is>
      </c>
      <c r="F254" s="4" t="inlineStr">
        <is>
          <t>100.00</t>
        </is>
      </c>
    </row>
    <row collapsed="false" customFormat="false" customHeight="false" hidden="false" ht="12.1" outlineLevel="0" r="255">
      <c r="A255" s="5" t="s">
        <f>=HYPERLINK("https://www.leilaoonline.net/lote/detalhe/129013", "917")</f>
      </c>
      <c r="B255" s="4" t="s">
        <f>=HYPERLINK("https://www.leilaoonline.net/lote/detalhe/129013", " TIG-012-2022- 02 CALCOS , 01 CONTATOR ,  LOC. MANGARATIBA - RIO DE JANEIRO")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500,00</t>
        </is>
      </c>
      <c r="F255" s="4" t="inlineStr">
        <is>
          <t>100.00</t>
        </is>
      </c>
    </row>
    <row collapsed="false" customFormat="false" customHeight="false" hidden="false" ht="12.1" outlineLevel="0" r="256">
      <c r="A256" s="5" t="s">
        <f>=HYPERLINK("https://www.leilaoonline.net/lote/detalhe/129041", "918")</f>
      </c>
      <c r="B256" s="4" t="s">
        <f>=HYPERLINK("https://www.leilaoonline.net/lote/detalhe/129041", " ITA-005-2022 - 150 ITENS. - SUPORTE 76527573 KOMATSU, RETENTOR VED PU 88,9MM 101,6MM; E OUTROS, VEJA DESCRITIVO DE ITENS. - LOC. ITABIRA/MG ")</f>
      </c>
      <c r="C256" s="4" t="inlineStr">
        <is>
          <t>Não vendido</t>
        </is>
      </c>
      <c r="D256" s="4" t="inlineStr">
        <is>
          <t>2</t>
        </is>
      </c>
      <c r="E256" s="5" t="inlineStr">
        <is>
          <t>700,00</t>
        </is>
      </c>
      <c r="F256" s="4" t="inlineStr">
        <is>
          <t>100.00</t>
        </is>
      </c>
    </row>
    <row collapsed="false" customFormat="false" customHeight="false" hidden="false" ht="12.1" outlineLevel="0" r="257">
      <c r="A257" s="5" t="s">
        <f>=HYPERLINK("https://www.leilaoonline.net/lote/detalhe/129022", "919")</f>
      </c>
      <c r="B257" s="4" t="s">
        <f>=HYPERLINK("https://www.leilaoonline.net/lote/detalhe/129022", " ITA-006-2022 - 85 ITENS. - RETENTOR VED 1280097 CATERPILLAR; CORREIA 206996 CUMMINS; E OUTROS, VEJA DESCRITIVO DE ITENS. - LOC. ITABIRA/MG")</f>
      </c>
      <c r="C257" s="4" t="inlineStr">
        <is>
          <t>Vendido</t>
        </is>
      </c>
      <c r="D257" s="4" t="inlineStr">
        <is>
          <t>2</t>
        </is>
      </c>
      <c r="E257" s="5" t="inlineStr">
        <is>
          <t>1.556,00</t>
        </is>
      </c>
      <c r="F257" s="4" t="inlineStr">
        <is>
          <t>100.00</t>
        </is>
      </c>
    </row>
    <row collapsed="false" customFormat="false" customHeight="false" hidden="false" ht="12.1" outlineLevel="0" r="258">
      <c r="A258" s="5" t="s">
        <f>=HYPERLINK("https://www.leilaoonline.net/lote/detalhe/129029", "923")</f>
      </c>
      <c r="B258" s="4" t="s">
        <f>=HYPERLINK("https://www.leilaoonline.net/lote/detalhe/129029", " SLS-EQ-021-2022 - 6 CONTAINERS; UNIAO (CONTAINER DE 6 METROS (20pés). Usado em condições de uso) - LOC. SÃO LUÍS/MA")</f>
      </c>
      <c r="C258" s="4" t="inlineStr">
        <is>
          <t>Não vendido</t>
        </is>
      </c>
      <c r="D258" s="4" t="inlineStr">
        <is>
          <t>91</t>
        </is>
      </c>
      <c r="E258" s="5" t="inlineStr">
        <is>
          <t>34.550,00</t>
        </is>
      </c>
      <c r="F258" s="4" t="inlineStr">
        <is>
          <t>1000.00</t>
        </is>
      </c>
    </row>
    <row collapsed="false" customFormat="false" customHeight="false" hidden="false" ht="12.1" outlineLevel="0" r="259">
      <c r="A259" s="5" t="s">
        <f>=HYPERLINK("https://www.leilaoonline.net/lote/detalhe/129040", "924")</f>
      </c>
      <c r="B259" s="4" t="s">
        <f>=HYPERLINK("https://www.leilaoonline.net/lote/detalhe/129040", " SLS-MRO-006-2022 - APROX. 3900 ITENS. - CHAVETA 126X1644-1 GENERAL ELECTRIC; FUSIVEL COMPONENTE; APLIC;9330514 GM-EMD; E OUTROS, VEJA DESCRITIVO DE ITENS. - LOC. SÃO LUIS/MA")</f>
      </c>
      <c r="C259" s="4" t="inlineStr">
        <is>
          <t>Vendido</t>
        </is>
      </c>
      <c r="D259" s="4" t="inlineStr">
        <is>
          <t>50</t>
        </is>
      </c>
      <c r="E259" s="5" t="inlineStr">
        <is>
          <t>14.750,00</t>
        </is>
      </c>
      <c r="F259" s="4" t="inlineStr">
        <is>
          <t>500.00</t>
        </is>
      </c>
    </row>
    <row collapsed="false" customFormat="false" customHeight="false" hidden="false" ht="12.1" outlineLevel="0" r="260">
      <c r="A260" s="5" t="s">
        <f>=HYPERLINK("https://www.leilaoonline.net/lote/detalhe/129026", "925")</f>
      </c>
      <c r="B260" s="4" t="s">
        <f>=HYPERLINK("https://www.leilaoonline.net/lote/detalhe/129026", " SLS-MRO-007-2022 - 300 ITENS. - REVESTIMENTO 5 397 100 REMA TIP TOP; BUJAO TUBO 1/8POL AC SAE1045; E OUTROS, VEJA DESCRITIVO DE ITENS. - LOC. SÃO LUIS/MA")</f>
      </c>
      <c r="C260" s="4" t="inlineStr">
        <is>
          <t>Vendido</t>
        </is>
      </c>
      <c r="D260" s="4" t="inlineStr">
        <is>
          <t>15</t>
        </is>
      </c>
      <c r="E260" s="5" t="inlineStr">
        <is>
          <t>3.650,00</t>
        </is>
      </c>
      <c r="F260" s="4" t="inlineStr">
        <is>
          <t>250.00</t>
        </is>
      </c>
    </row>
    <row collapsed="false" customFormat="false" customHeight="false" hidden="false" ht="12.1" outlineLevel="0" r="261">
      <c r="A261" s="5" t="s">
        <f>=HYPERLINK("https://www.leilaoonline.net/lote/detalhe/129042", "926")</f>
      </c>
      <c r="B261" s="4" t="s">
        <f>=HYPERLINK("https://www.leilaoonline.net/lote/detalhe/129042", " SLS-MRO-009-2022 - 415.536  MASCARA RESPIRADORA TECIDO U. - LOC. SÃO LUIS/MA")</f>
      </c>
      <c r="C261" s="4" t="inlineStr">
        <is>
          <t>Não vendido</t>
        </is>
      </c>
      <c r="D261" s="4" t="inlineStr">
        <is>
          <t>3</t>
        </is>
      </c>
      <c r="E261" s="5" t="inlineStr">
        <is>
          <t>700,00</t>
        </is>
      </c>
      <c r="F261" s="4" t="inlineStr">
        <is>
          <t>100.00</t>
        </is>
      </c>
    </row>
    <row collapsed="false" customFormat="false" customHeight="false" hidden="false" ht="12.1" outlineLevel="0" r="262">
      <c r="A262" s="5" t="s">
        <f>=HYPERLINK("https://www.leilaoonline.net/lote/detalhe/129017", "927")</f>
      </c>
      <c r="B262" s="4" t="s">
        <f>=HYPERLINK("https://www.leilaoonline.net/lote/detalhe/129017", " SLS-MRO-014-2022 - APROX. 1500 ITENS - DISJUNTOR 16A; VALVULA SEG 2POL/2.1/2POL AI AISI304; E OUTROS, VEJA DECSRITIVO DE ITENS. - LOC. SÃO LUIS/MA")</f>
      </c>
      <c r="C262" s="4" t="inlineStr">
        <is>
          <t>Não vendido</t>
        </is>
      </c>
      <c r="D262" s="4" t="inlineStr">
        <is>
          <t>21</t>
        </is>
      </c>
      <c r="E262" s="5" t="inlineStr">
        <is>
          <t>5.700,00</t>
        </is>
      </c>
      <c r="F262" s="4" t="inlineStr">
        <is>
          <t>250.00</t>
        </is>
      </c>
    </row>
    <row collapsed="false" customFormat="false" customHeight="false" hidden="false" ht="12.1" outlineLevel="0" r="263">
      <c r="A263" s="5" t="s">
        <f>=HYPERLINK("https://www.leilaoonline.net/lote/detalhe/129033", "928")</f>
      </c>
      <c r="B263" s="4" t="s">
        <f>=HYPERLINK("https://www.leilaoonline.net/lote/detalhe/129033", " SLS-MRO-016-2022  - APROX. 1500 ITENS. - ARRUELA T25-02 FIBAM, POLIA V 127MM 4CAN 3V; E OUTROS, VEJA DESCRITIVO DE ITENS. - LOC. SÃO LUIS/MA")</f>
      </c>
      <c r="C263" s="4" t="inlineStr">
        <is>
          <t>Não vendido</t>
        </is>
      </c>
      <c r="D263" s="4" t="inlineStr">
        <is>
          <t>6</t>
        </is>
      </c>
      <c r="E263" s="5" t="inlineStr">
        <is>
          <t>1.000,00</t>
        </is>
      </c>
      <c r="F263" s="4" t="inlineStr">
        <is>
          <t>100.00</t>
        </is>
      </c>
    </row>
    <row collapsed="false" customFormat="false" customHeight="false" hidden="false" ht="12.1" outlineLevel="0" r="264">
      <c r="A264" s="5" t="s">
        <f>=HYPERLINK("https://www.leilaoonline.net/lote/detalhe/129030", "929")</f>
      </c>
      <c r="B264" s="4" t="s">
        <f>=HYPERLINK("https://www.leilaoonline.net/lote/detalhe/129030", " SLS-MRO-018-2022 - APROX. 850 ITENS. - ADAPTADOR TUBO/MACHO; MATERIAL/NORMA: AC; GRAPA FIXA SRS574 SISA;  E OUTROS, VEJA DESCRITIVO DE ITENS. - LOC. SÃO LUIS/MA")</f>
      </c>
      <c r="C264" s="4" t="inlineStr">
        <is>
          <t>Vendido</t>
        </is>
      </c>
      <c r="D264" s="4" t="inlineStr">
        <is>
          <t>7</t>
        </is>
      </c>
      <c r="E264" s="5" t="inlineStr">
        <is>
          <t>4.955,00</t>
        </is>
      </c>
      <c r="F264" s="4" t="inlineStr">
        <is>
          <t>100.00</t>
        </is>
      </c>
    </row>
    <row collapsed="false" customFormat="false" customHeight="false" hidden="false" ht="12.1" outlineLevel="0" r="265">
      <c r="A265" s="5" t="s">
        <f>=HYPERLINK("https://www.leilaoonline.net/lote/detalhe/129036", "930")</f>
      </c>
      <c r="B265" s="4" t="s">
        <f>=HYPERLINK("https://www.leilaoonline.net/lote/detalhe/129036", " SLS-MRO-019-2022 - 12.000 ITENS. - FUSIVEL TA09322 IT5 DESENHO VALE; BUCHA GROSSA DESENHO-200K-36-07407 SUFEC; E OUTROS, VEJA DESCRITIVO DE ITENS. - LOC. SÃO LUIS/MA")</f>
      </c>
      <c r="C265" s="4" t="inlineStr">
        <is>
          <t>Não vendido</t>
        </is>
      </c>
      <c r="D265" s="4" t="inlineStr">
        <is>
          <t>32</t>
        </is>
      </c>
      <c r="E265" s="5" t="inlineStr">
        <is>
          <t>7.300,00</t>
        </is>
      </c>
      <c r="F265" s="4" t="inlineStr">
        <is>
          <t>250.00</t>
        </is>
      </c>
    </row>
    <row collapsed="false" customFormat="false" customHeight="false" hidden="false" ht="12.1" outlineLevel="0" r="266">
      <c r="A266" s="5" t="s">
        <f>=HYPERLINK("https://www.leilaoonline.net/lote/detalhe/129021", "931")</f>
      </c>
      <c r="B266" s="4" t="s">
        <f>=HYPERLINK("https://www.leilaoonline.net/lote/detalhe/129021", " SLS-MRO-020-2022 - 475 BRACO SUPERIOR; TRUCK FNV; MATERIAL: ACO - 10639 WINCO EQUIPAMENTOS FERROVIARIOS LTDA; FABRICANTE/REFERÊNCIA:WINCO/10639. - LOC. SÃO LUIS/MA")</f>
      </c>
      <c r="C266" s="4" t="inlineStr">
        <is>
          <t>Não vendido</t>
        </is>
      </c>
      <c r="D266" s="4" t="inlineStr">
        <is>
          <t>6</t>
        </is>
      </c>
      <c r="E266" s="5" t="inlineStr">
        <is>
          <t>1.950,00</t>
        </is>
      </c>
      <c r="F266" s="4" t="inlineStr">
        <is>
          <t>250.00</t>
        </is>
      </c>
    </row>
    <row collapsed="false" customFormat="false" customHeight="false" hidden="false" ht="12.1" outlineLevel="0" r="267">
      <c r="A267" s="5" t="s">
        <f>=HYPERLINK("https://www.leilaoonline.net/lote/detalhe/129038", "932")</f>
      </c>
      <c r="B267" s="4" t="s">
        <f>=HYPERLINK("https://www.leilaoonline.net/lote/detalhe/129038", " SLS-MRO-022-2022 - 1300 ITENS. - EMENDA CONTRATIL TW-5551 3M; CHAPA APOIO 850B-27-10400. E OUTROS, VEJA DESCRITIVO DE ITENS. - LOC. SÃO LUIS/MA")</f>
      </c>
      <c r="C267" s="4" t="inlineStr">
        <is>
          <t>Não vendido</t>
        </is>
      </c>
      <c r="D267" s="4" t="inlineStr">
        <is>
          <t>40</t>
        </is>
      </c>
      <c r="E267" s="5" t="inlineStr">
        <is>
          <t>8.000,00</t>
        </is>
      </c>
      <c r="F267" s="4" t="inlineStr">
        <is>
          <t>250.00</t>
        </is>
      </c>
    </row>
    <row collapsed="false" customFormat="false" customHeight="false" hidden="false" ht="12.1" outlineLevel="0" r="268">
      <c r="A268" s="5" t="s">
        <f>=HYPERLINK("https://www.leilaoonline.net/lote/detalhe/129024", "933")</f>
      </c>
      <c r="B268" s="4" t="s">
        <f>=HYPERLINK("https://www.leilaoonline.net/lote/detalhe/129024", " SLS-MRO-024-2022 - APROX. 1500 ITENS. - DISJUNTOR 16A, MANCAL ROLAMENTO FLANG RED; E OUTROS, VEJA DESCRITIVO DE ITENS. - LOC. SÃO LUIS/MA")</f>
      </c>
      <c r="C268" s="4" t="inlineStr">
        <is>
          <t>Não vendido</t>
        </is>
      </c>
      <c r="D268" s="4" t="inlineStr">
        <is>
          <t>26</t>
        </is>
      </c>
      <c r="E268" s="5" t="inlineStr">
        <is>
          <t>5.700,00</t>
        </is>
      </c>
      <c r="F268" s="4" t="inlineStr">
        <is>
          <t>250.00</t>
        </is>
      </c>
    </row>
    <row collapsed="false" customFormat="false" customHeight="false" hidden="false" ht="12.1" outlineLevel="0" r="269">
      <c r="A269" s="5" t="s">
        <f>=HYPERLINK("https://www.leilaoonline.net/lote/detalhe/129037", "934")</f>
      </c>
      <c r="B269" s="4" t="s">
        <f>=HYPERLINK("https://www.leilaoonline.net/lote/detalhe/129037", " SLS-MRO-025-2022 - 1500 ITENS. - PARAFUSO 5/8POL 2.1/4POL UNC; LUVA ELETRODUTO LU-4883 1BSP BLINDA. E OUTROS, VEJA DESCRITIVO DE ITENS. - LOC. SÃO LUIS/MA")</f>
      </c>
      <c r="C269" s="4" t="inlineStr">
        <is>
          <t>Não vendido</t>
        </is>
      </c>
      <c r="D269" s="4" t="inlineStr">
        <is>
          <t>0</t>
        </is>
      </c>
      <c r="E269" s="5" t="inlineStr">
        <is>
          <t>500,00</t>
        </is>
      </c>
      <c r="F269" s="4" t="inlineStr">
        <is>
          <t>100.00</t>
        </is>
      </c>
    </row>
    <row collapsed="false" customFormat="false" customHeight="false" hidden="false" ht="12.1" outlineLevel="0" r="270">
      <c r="A270" s="5" t="s">
        <f>=HYPERLINK("https://www.leilaoonline.net/lote/detalhe/129027", "935")</f>
      </c>
      <c r="B270" s="4" t="s">
        <f>=HYPERLINK("https://www.leilaoonline.net/lote/detalhe/129027", " SLS-MRO-026-2022 - APROX. 1200 ITENS. - PARAFUSO CAB SEXT 1/2POL, CONTATOR ELET 220VCA 16A; E OUTROS, VEJA DESCRITIVO DE ITENS. - LOC. SÃO LUIS/MA")</f>
      </c>
      <c r="C270" s="4" t="inlineStr">
        <is>
          <t>Não vendido</t>
        </is>
      </c>
      <c r="D270" s="4" t="inlineStr">
        <is>
          <t>24</t>
        </is>
      </c>
      <c r="E270" s="5" t="inlineStr">
        <is>
          <t>2.800,00</t>
        </is>
      </c>
      <c r="F270" s="4" t="inlineStr">
        <is>
          <t>100.00</t>
        </is>
      </c>
    </row>
    <row collapsed="false" customFormat="false" customHeight="false" hidden="false" ht="12.1" outlineLevel="0" r="271">
      <c r="A271" s="5" t="s">
        <f>=HYPERLINK("https://www.leilaoonline.net/lote/detalhe/129039", "936")</f>
      </c>
      <c r="B271" s="4" t="s">
        <f>=HYPERLINK("https://www.leilaoonline.net/lote/detalhe/129039", " SLS-MRO-027-2022 - APROX. 700 ITENS. - DISJUNTOR 1,6A; CARTER DF-851K-27-0006/2703/2 DESENHO VA; E OUTROS, VEJA DESCRITIVO DE ITENS. - LOC. SÃO LUIS/MA")</f>
      </c>
      <c r="C271" s="4" t="inlineStr">
        <is>
          <t>Não vendido</t>
        </is>
      </c>
      <c r="D271" s="4" t="inlineStr">
        <is>
          <t>75</t>
        </is>
      </c>
      <c r="E271" s="5" t="inlineStr">
        <is>
          <t>9.650,00</t>
        </is>
      </c>
      <c r="F271" s="4" t="inlineStr">
        <is>
          <t>300.00</t>
        </is>
      </c>
    </row>
    <row collapsed="false" customFormat="false" customHeight="false" hidden="false" ht="12.1" outlineLevel="0" r="272">
      <c r="A272" s="5" t="s">
        <f>=HYPERLINK("https://www.leilaoonline.net/lote/detalhe/129018", "937")</f>
      </c>
      <c r="B272" s="4" t="s">
        <f>=HYPERLINK("https://www.leilaoonline.net/lote/detalhe/129018", " SLS-MROZIPI-001-2022 - 369 ROLOS DE IMPACTO E RETORNO - LOC. SÃO LUIS/MA")</f>
      </c>
      <c r="C272" s="4" t="inlineStr">
        <is>
          <t>Não vendido</t>
        </is>
      </c>
      <c r="D272" s="4" t="inlineStr">
        <is>
          <t>14</t>
        </is>
      </c>
      <c r="E272" s="5" t="inlineStr">
        <is>
          <t>2.400,00</t>
        </is>
      </c>
      <c r="F272" s="4" t="inlineStr">
        <is>
          <t>250.00</t>
        </is>
      </c>
    </row>
    <row collapsed="false" customFormat="false" customHeight="false" hidden="false" ht="12.1" outlineLevel="0" r="273">
      <c r="A273" s="5" t="s">
        <f>=HYPERLINK("https://www.leilaoonline.net/lote/detalhe/129031", "938")</f>
      </c>
      <c r="B273" s="4" t="s">
        <f>=HYPERLINK("https://www.leilaoonline.net/lote/detalhe/129031", " SSG-004-2022-MRO - 84 ITENS. - ROLO 79348544548 METSO; PARAFUSO AHNSFA118J P")</f>
      </c>
      <c r="C273" s="4" t="inlineStr">
        <is>
          <t>Não vendido</t>
        </is>
      </c>
      <c r="D273" s="4" t="inlineStr">
        <is>
          <t>0</t>
        </is>
      </c>
      <c r="E273" s="5" t="inlineStr">
        <is>
          <t>500,00</t>
        </is>
      </c>
      <c r="F273" s="4" t="inlineStr">
        <is>
          <t>100.00</t>
        </is>
      </c>
    </row>
    <row collapsed="false" customFormat="false" customHeight="false" hidden="false" ht="12.1" outlineLevel="0" r="274">
      <c r="A274" s="5" t="s">
        <f>=HYPERLINK("https://www.leilaoonline.net/lote/detalhe/129019", "939")</f>
      </c>
      <c r="B274" s="4" t="s">
        <f>=HYPERLINK("https://www.leilaoonline.net/lote/detalhe/129019", " SSG-006-2022-MRO - 75 ITENS. - RESISTOR COMPONENTE;;3BHB013477R0001 ABB, RESISTOR COMPONENTE;;HIES308461R0004 ABB; E OUTROS, VEJA DESCRITIVO DE ITENS. - LOC. CANÃ DOS CARAJÁS/PA ")</f>
      </c>
      <c r="C274" s="4" t="inlineStr">
        <is>
          <t>Não vendido</t>
        </is>
      </c>
      <c r="D274" s="4" t="inlineStr">
        <is>
          <t>0</t>
        </is>
      </c>
      <c r="E274" s="5" t="inlineStr">
        <is>
          <t>500,00</t>
        </is>
      </c>
      <c r="F274" s="4" t="inlineStr">
        <is>
          <t>100.00</t>
        </is>
      </c>
    </row>
    <row collapsed="false" customFormat="false" customHeight="false" hidden="false" ht="12.1" outlineLevel="0" r="275">
      <c r="A275" s="5" t="s">
        <f>=HYPERLINK("https://www.leilaoonline.net/lote/detalhe/129032", "940")</f>
      </c>
      <c r="B275" s="4" t="s">
        <f>=HYPERLINK("https://www.leilaoonline.net/lote/detalhe/129032", " SSG-007-2022-MRO - APROX. 34.500 MASCARA RESPIRADORA TECIDO U. - CANAÃ DOS CARAJÁS/PA")</f>
      </c>
      <c r="C275" s="4" t="inlineStr">
        <is>
          <t>Não vendido</t>
        </is>
      </c>
      <c r="D275" s="4" t="inlineStr">
        <is>
          <t>0</t>
        </is>
      </c>
      <c r="E275" s="5" t="inlineStr">
        <is>
          <t>500,00</t>
        </is>
      </c>
      <c r="F275" s="4" t="inlineStr">
        <is>
          <t>100.00</t>
        </is>
      </c>
    </row>
    <row collapsed="false" customFormat="false" customHeight="false" hidden="false" ht="12.1" outlineLevel="0" r="276">
      <c r="A276" s="5" t="s">
        <f>=HYPERLINK("https://www.leilaoonline.net/lote/detalhe/129028", "941")</f>
      </c>
      <c r="B276" s="4" t="s">
        <f>=HYPERLINK("https://www.leilaoonline.net/lote/detalhe/129028", " SSG-011-2022 - MR0 - 40 ITENS. - RETENTOR 25MM 42,2MM, ESPACADOR COMPONENTE;;B008613-01 BUCYRUS, E OUTROS, VEJA DESCRITIVO DE ITENS. - LOC. CANAÃ DOS CARAJÁS/PA")</f>
      </c>
      <c r="C276" s="4" t="inlineStr">
        <is>
          <t>Não vendido</t>
        </is>
      </c>
      <c r="D276" s="4" t="inlineStr">
        <is>
          <t>2</t>
        </is>
      </c>
      <c r="E276" s="5" t="inlineStr">
        <is>
          <t>600,00</t>
        </is>
      </c>
      <c r="F276" s="4" t="inlineStr">
        <is>
          <t>100.00</t>
        </is>
      </c>
    </row>
    <row collapsed="false" customFormat="false" customHeight="false" hidden="false" ht="12.1" outlineLevel="0" r="277">
      <c r="A277" s="5" t="s">
        <f>=HYPERLINK("https://www.leilaoonline.net/lote/detalhe/129035", "942")</f>
      </c>
      <c r="B277" s="4" t="s">
        <f>=HYPERLINK("https://www.leilaoonline.net/lote/detalhe/129035", " SSG-013-2022 - 419 CAIXAS DE LUVAS SG AG , DIVERSOS TAMANHOS, VEJA DESCRITIVO DE ITENS. - LOC. CANAÃ DOS CARAJÁS/PA")</f>
      </c>
      <c r="C277" s="4" t="inlineStr">
        <is>
          <t>Não vendido</t>
        </is>
      </c>
      <c r="D277" s="4" t="inlineStr">
        <is>
          <t>4</t>
        </is>
      </c>
      <c r="E277" s="5" t="inlineStr">
        <is>
          <t>800,00</t>
        </is>
      </c>
      <c r="F277" s="4" t="inlineStr">
        <is>
          <t>100.00</t>
        </is>
      </c>
    </row>
    <row collapsed="false" customFormat="false" customHeight="false" hidden="false" ht="12.1" outlineLevel="0" r="278">
      <c r="A278" s="5" t="s">
        <f>=HYPERLINK("https://www.leilaoonline.net/lote/detalhe/129020", "943")</f>
      </c>
      <c r="B278" s="4" t="s">
        <f>=HYPERLINK("https://www.leilaoonline.net/lote/detalhe/129020", " SSG-018-2022-MRO - 110 ITENS. - ANEL VED NBR 85,32MM 3,53MM; ESPACADOR COMPONENTE;;7P1579 CATERPILLAR; E OUTROS, VEJA DESCRITIVO DE ITENS. - LOC. CANAÃ DOS CARAJÁS/PA")</f>
      </c>
      <c r="C278" s="4" t="inlineStr">
        <is>
          <t>Não vendido</t>
        </is>
      </c>
      <c r="D278" s="4" t="inlineStr">
        <is>
          <t>3</t>
        </is>
      </c>
      <c r="E278" s="5" t="inlineStr">
        <is>
          <t>3.500,00</t>
        </is>
      </c>
      <c r="F278" s="4" t="inlineStr">
        <is>
          <t>250.00</t>
        </is>
      </c>
    </row>
    <row collapsed="false" customFormat="false" customHeight="false" hidden="false" ht="12.1" outlineLevel="0" r="279">
      <c r="A279" s="5" t="s">
        <f>=HYPERLINK("https://www.leilaoonline.net/lote/detalhe/129044", "944")</f>
      </c>
      <c r="B279" s="4" t="s">
        <f>=HYPERLINK("https://www.leilaoonline.net/lote/detalhe/129044", " SSG-025-2021-MRO - APROX. 130 ITENS. - PARAFUSO 8T4190 CATERPILLAR, ARRUELA 3E9411 CATERPILLAR; E OUTROS, VEJA DESCRITIVO DE ITENS. - LOC. CANAÃ DOS CARAJÁS/PA")</f>
      </c>
      <c r="C279" s="4" t="inlineStr">
        <is>
          <t>Não vendido</t>
        </is>
      </c>
      <c r="D279" s="4" t="inlineStr">
        <is>
          <t>11</t>
        </is>
      </c>
      <c r="E279" s="5" t="inlineStr">
        <is>
          <t>2.250,00</t>
        </is>
      </c>
      <c r="F279" s="4" t="inlineStr">
        <is>
          <t>250.00</t>
        </is>
      </c>
    </row>
    <row collapsed="false" customFormat="false" customHeight="false" hidden="false" ht="12.1" outlineLevel="0" r="280">
      <c r="A280" s="5" t="s">
        <f>=HYPERLINK("https://www.leilaoonline.net/lote/detalhe/129025", "945")</f>
      </c>
      <c r="B280" s="4" t="s">
        <f>=HYPERLINK("https://www.leilaoonline.net/lote/detalhe/129025", " SSG-028-2021-MRO - 20 ITENS. - ROLAMENTO ESFERAS 6005 SKF, ITEM CUBO 2903830 CATERPILLAR; E OUTROS, VEJA DESCRITIVO DE ITENS. - LOC. CANAÃ DOS CARAJÁS/PA")</f>
      </c>
      <c r="C280" s="4" t="inlineStr">
        <is>
          <t>Vendido</t>
        </is>
      </c>
      <c r="D280" s="4" t="inlineStr">
        <is>
          <t>16</t>
        </is>
      </c>
      <c r="E280" s="5" t="inlineStr">
        <is>
          <t>2.066,00</t>
        </is>
      </c>
      <c r="F280" s="4" t="inlineStr">
        <is>
          <t>250.00</t>
        </is>
      </c>
    </row>
    <row collapsed="false" customFormat="false" customHeight="false" hidden="false" ht="12.1" outlineLevel="0" r="281">
      <c r="A281" s="5" t="s">
        <f>=HYPERLINK("https://www.leilaoonline.net/lote/detalhe/129045", "946")</f>
      </c>
      <c r="B281" s="4" t="s">
        <f>=HYPERLINK("https://www.leilaoonline.net/lote/detalhe/129045", "PIC-328-2022  - PAINEL ELETRONICO 4240027 LE TOURNEAU, VALVULA SEG 1/4POL 180BAR; E OUTROS, VEJA DESCRITIO DE ITENS. - LOC. ITABIRITO / MG")</f>
      </c>
      <c r="C281" s="4" t="inlineStr">
        <is>
          <t>Não vendido</t>
        </is>
      </c>
      <c r="D281" s="4" t="inlineStr">
        <is>
          <t>2</t>
        </is>
      </c>
      <c r="E281" s="5" t="inlineStr">
        <is>
          <t>600,00</t>
        </is>
      </c>
      <c r="F281" s="4" t="inlineStr">
        <is>
          <t>100.00</t>
        </is>
      </c>
    </row>
    <row collapsed="false" customFormat="false" customHeight="false" hidden="false" ht="12.1" outlineLevel="0" r="282">
      <c r="A282" s="5" t="s">
        <f>=HYPERLINK("https://www.leilaoonline.net/lote/detalhe/129048", "947")</f>
      </c>
      <c r="B282" s="4" t="s">
        <f>=HYPERLINK("https://www.leilaoonline.net/lote/detalhe/129048", " MUT-006-2022- 91.620 ITENS, MASCARA RESPIRADORA TECIDO U, LOC.NOVA LIMA / MG ")</f>
      </c>
      <c r="C282" s="4" t="inlineStr">
        <is>
          <t>Não vendido</t>
        </is>
      </c>
      <c r="D282" s="4" t="inlineStr">
        <is>
          <t>1</t>
        </is>
      </c>
      <c r="E282" s="5" t="inlineStr">
        <is>
          <t>500,00</t>
        </is>
      </c>
      <c r="F282" s="4" t="inlineStr">
        <is>
          <t>100.00</t>
        </is>
      </c>
    </row>
    <row collapsed="false" customFormat="false" customHeight="false" hidden="false" ht="12.1" outlineLevel="0" r="283">
      <c r="A283" s="5" t="s">
        <f>=HYPERLINK("https://www.leilaoonline.net/lote/detalhe/129051", "948")</f>
      </c>
      <c r="B283" s="4" t="s">
        <f>=HYPERLINK("https://www.leilaoonline.net/lote/detalhe/129051", " MUT-007-2022- 138 ITENS, ROLAMENTOS, ELEMENTOS E OUTROS, VEJA DESCRITIVO DE ITENS, LOC.NOVA LIMA/MG")</f>
      </c>
      <c r="C283" s="4" t="inlineStr">
        <is>
          <t>Vendido</t>
        </is>
      </c>
      <c r="D283" s="4" t="inlineStr">
        <is>
          <t>7</t>
        </is>
      </c>
      <c r="E283" s="5" t="inlineStr">
        <is>
          <t>1.059,00</t>
        </is>
      </c>
      <c r="F283" s="4" t="inlineStr">
        <is>
          <t>100.00</t>
        </is>
      </c>
    </row>
    <row collapsed="false" customFormat="false" customHeight="false" hidden="false" ht="12.1" outlineLevel="0" r="284">
      <c r="A284" s="5" t="s">
        <f>=HYPERLINK("https://www.leilaoonline.net/lote/detalhe/129050", "949")</f>
      </c>
      <c r="B284" s="4" t="s">
        <f>=HYPERLINK("https://www.leilaoonline.net/lote/detalhe/129050", " MUT-012-2022- 145 ITENS, MODULOS, MANOMETRO E OUTROS, VEJA DESCRITIVO DE ITENS, LOC.NOVA LIMA/MG")</f>
      </c>
      <c r="C284" s="4" t="inlineStr">
        <is>
          <t>Vendido</t>
        </is>
      </c>
      <c r="D284" s="4" t="inlineStr">
        <is>
          <t>30</t>
        </is>
      </c>
      <c r="E284" s="5" t="inlineStr">
        <is>
          <t>4.700,00</t>
        </is>
      </c>
      <c r="F284" s="4" t="inlineStr">
        <is>
          <t>300.00</t>
        </is>
      </c>
    </row>
    <row collapsed="false" customFormat="false" customHeight="false" hidden="false" ht="12.1" outlineLevel="0" r="285">
      <c r="A285" s="5" t="s">
        <f>=HYPERLINK("https://www.leilaoonline.net/lote/detalhe/129053", "950")</f>
      </c>
      <c r="B285" s="4" t="s">
        <f>=HYPERLINK("https://www.leilaoonline.net/lote/detalhe/129053", " MUT-015-2022 - 308 ITENS, TERMOSTATO, ANEIS  E OUTROS, VEJA DESCRITIVO DE ITENS, LOC.NOVA LIMA/MG")</f>
      </c>
      <c r="C285" s="4" t="inlineStr">
        <is>
          <t>Não vendido</t>
        </is>
      </c>
      <c r="D285" s="4" t="inlineStr">
        <is>
          <t>1</t>
        </is>
      </c>
      <c r="E285" s="5" t="inlineStr">
        <is>
          <t>500,00</t>
        </is>
      </c>
      <c r="F285" s="4" t="inlineStr">
        <is>
          <t>100.00</t>
        </is>
      </c>
    </row>
    <row collapsed="false" customFormat="false" customHeight="false" hidden="false" ht="12.1" outlineLevel="0" r="286">
      <c r="A286" s="5" t="s">
        <f>=HYPERLINK("https://www.leilaoonline.net/lote/detalhe/129049", "951")</f>
      </c>
      <c r="B286" s="4" t="s">
        <f>=HYPERLINK("https://www.leilaoonline.net/lote/detalhe/129049", " MUT-016-2022- 428 ITENS, AJUSTADOR FOLGA, CORREIA E OUTROS, VEJA DESCRITIVO DE ITENS, LOC.NOVA LIMA/MG")</f>
      </c>
      <c r="C286" s="4" t="inlineStr">
        <is>
          <t>Vendido</t>
        </is>
      </c>
      <c r="D286" s="4" t="inlineStr">
        <is>
          <t>46</t>
        </is>
      </c>
      <c r="E286" s="5" t="inlineStr">
        <is>
          <t>11.550,00</t>
        </is>
      </c>
      <c r="F286" s="4" t="inlineStr">
        <is>
          <t>250.00</t>
        </is>
      </c>
    </row>
    <row collapsed="false" customFormat="false" customHeight="false" hidden="false" ht="12.1" outlineLevel="0" r="287">
      <c r="A287" s="5" t="s">
        <f>=HYPERLINK("https://www.leilaoonline.net/lote/detalhe/129052", "952")</f>
      </c>
      <c r="B287" s="4" t="s">
        <f>=HYPERLINK("https://www.leilaoonline.net/lote/detalhe/129052", " MUT-017-2022- 489 ITENS, TELA PENEIRA, CAIXA ROLAMENTOS  E OUTROS, VEJA DESCRITIVO DE ITENS, LOC.NOVA LIMA/MG ")</f>
      </c>
      <c r="C287" s="4" t="inlineStr">
        <is>
          <t>Vendido</t>
        </is>
      </c>
      <c r="D287" s="4" t="inlineStr">
        <is>
          <t>12</t>
        </is>
      </c>
      <c r="E287" s="5" t="inlineStr">
        <is>
          <t>5.544,00</t>
        </is>
      </c>
      <c r="F287" s="4" t="inlineStr">
        <is>
          <t>250.00</t>
        </is>
      </c>
    </row>
    <row collapsed="false" customFormat="false" customHeight="false" hidden="false" ht="12.1" outlineLevel="0" r="288">
      <c r="A288" s="5" t="s">
        <f>=HYPERLINK("https://www.leilaoonline.net/lote/detalhe/129047", "953")</f>
      </c>
      <c r="B288" s="4" t="s">
        <f>=HYPERLINK("https://www.leilaoonline.net/lote/detalhe/129047", " MUT-018-2022- 30 ITENS, ROLAMENTOS, CAPAS   E OUTROS, VEJA DESCRITIVO DE ITENS, LOC.NOVA LIMA/MG ")</f>
      </c>
      <c r="C288" s="4" t="inlineStr">
        <is>
          <t>Não vendido</t>
        </is>
      </c>
      <c r="D288" s="4" t="inlineStr">
        <is>
          <t>2</t>
        </is>
      </c>
      <c r="E288" s="5" t="inlineStr">
        <is>
          <t>600,00</t>
        </is>
      </c>
      <c r="F288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2026-03-28T00:19:32.00Z</dcterms:created>
  <dc:creator>Tellks Tecnologia</dc:creator>
  <cp:revision>0</cp:revision>
</cp:coreProperties>
</file>