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VALTRA - CAMINHÕES - REBOQUES - TRANSBORDOS -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=HYPERLINK("https://www.leilaoonline.net/lote/detalhe/153378", "299")</f>
      </c>
      <c r="B11" s="4" t="s">
        <f>=HYPERLINK("https://www.leilaoonline.net/lote/detalhe/153378", "CARROCERIA COMBOIO, S/ FR, LOC. RIO BRILHANTE 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5.750,00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=HYPERLINK("https://www.leilaoonline.net/lote/detalhe/153369", "460")</f>
      </c>
      <c r="B12" s="4" t="s">
        <f>=HYPERLINK("https://www.leilaoonline.net/lote/detalhe/153369", "CAMINHÃO VW/15.180 EURO3 WORKER, ANO 2007/2007- BRANCA, (QUEIMADO) - FR4410765, LOC. CAARAPÓ")</f>
      </c>
      <c r="C12" s="4" t="inlineStr">
        <is>
          <t>Vendido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=HYPERLINK("https://www.leilaoonline.net/lote/detalhe/153370", "464")</f>
      </c>
      <c r="B13" s="4" t="s">
        <f>=HYPERLINK("https://www.leilaoonline.net/lote/detalhe/153370", " LAVADORA MOD. CRS66 A, ANO 2009, PT: 183574, LOC. CAARAPÓ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=HYPERLINK("https://www.leilaoonline.net/lote/detalhe/156770", "466")</f>
      </c>
      <c r="B14" s="4" t="s">
        <f>=HYPERLINK("https://www.leilaoonline.net/lote/detalhe/156770", " COLUNA DE ABSORCAO JW, ANO 2008, PT: 89986, LOC.CAARAPÓ")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=HYPERLINK("https://www.leilaoonline.net/lote/detalhe/155373", "468")</f>
      </c>
      <c r="B15" s="4" t="s">
        <f>=HYPERLINK("https://www.leilaoonline.net/lote/detalhe/155373", " CAMINHÃO VOLKSWAGEN 15-180 EURO3 WORKER (BORRACHARIA:55012), ANO 2008/2008 - FR4415010 - LOC.CAARAPÓ")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84.000,00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=HYPERLINK("https://www.leilaoonline.net/lote/detalhe/155371", "478")</f>
      </c>
      <c r="B16" s="4" t="s">
        <f>=HYPERLINK("https://www.leilaoonline.net/lote/detalhe/155371", " QUADRICICLO INJECAO ELETR 26,9CV 6250RPM, ANO 2015, FR9006006, LOC. RIO BRILHANTE ")</f>
      </c>
      <c r="C16" s="4" t="inlineStr">
        <is>
          <t>Vendido</t>
        </is>
      </c>
      <c r="D16" s="4" t="inlineStr">
        <is>
          <t>30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=HYPERLINK("https://www.leilaoonline.net/lote/detalhe/155372", "479")</f>
      </c>
      <c r="B17" s="4" t="s">
        <f>=HYPERLINK("https://www.leilaoonline.net/lote/detalhe/155372", " QUADRICICLO INJECAO ELETR 26,9CV 6250RPM, ANO 2015, FR9006005, LOC. RIO BRILHANTE 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=HYPERLINK("https://www.leilaoonline.net/lote/detalhe/153371", "482")</f>
      </c>
      <c r="B18" s="4" t="s">
        <f>=HYPERLINK("https://www.leilaoonline.net/lote/detalhe/153371", "MOTOBOMBA E MOTOR MWM, FR9005029, LOC. RIO BRILHAN TE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=HYPERLINK("https://www.leilaoonline.net/lote/detalhe/153372", "483")</f>
      </c>
      <c r="B19" s="4" t="s">
        <f>=HYPERLINK("https://www.leilaoonline.net/lote/detalhe/153372", "3 CHASSI  DE MOTOBOMBA, FR9005015/9005032/9005031, LOC. RIO BRILHANTE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=HYPERLINK("https://www.leilaoonline.net/lote/detalhe/157242", "488")</f>
      </c>
      <c r="B20" s="4" t="s">
        <f>=HYPERLINK("https://www.leilaoonline.net/lote/detalhe/157242", "M.A/VILLARES, ANO 1972/1972 ,GUINDASTE, - FR5001105, ( MOTOR NÃO CADASTRADO/SEM NUMERAÇÃO DE CHASSI/COR DIVERGENTE )   - LOC.PASSATEMPO ")</f>
      </c>
      <c r="C20" s="4" t="inlineStr">
        <is>
          <t>Vendido</t>
        </is>
      </c>
      <c r="D20" s="4" t="inlineStr">
        <is>
          <t>12</t>
        </is>
      </c>
      <c r="E20" s="5" t="inlineStr">
        <is>
          <t>15.500,00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=HYPERLINK("https://www.leilaoonline.net/lote/detalhe/156771", "495")</f>
      </c>
      <c r="B21" s="4" t="s">
        <f>=HYPERLINK("https://www.leilaoonline.net/lote/detalhe/156771", " 1- ENFARDADEIRA DE PAPEL 5 KG, PT: 292880; 1- ESTEIRA COM DETECTOR DE METAL, PT: 293177; 1- EMPACOTADEIRA 5 KG, PT_0001/007891. - LOC. PASSATEMPO")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=HYPERLINK("https://www.leilaoonline.net/lote/detalhe/156765", "496")</f>
      </c>
      <c r="B22" s="4" t="s">
        <f>=HYPERLINK("https://www.leilaoonline.net/lote/detalhe/156765", " 1- ESTEIRA COM DETECTOR DE METAL , PT: 293335; 1- EMPACOTADEIRA 2 KG., PT: 293337; 1- ENFARDADEIRA DE PAPEL 2 KG. -LOC. PASSATEMPO")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=HYPERLINK("https://www.leilaoonline.net/lote/detalhe/153373", "501")</f>
      </c>
      <c r="B23" s="4" t="s">
        <f>=HYPERLINK("https://www.leilaoonline.net/lote/detalhe/153373", "SUCATA TRATOR JOHN DEERE , FR4802041, LOC. PASSATEMPO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=HYPERLINK("https://www.leilaoonline.net/lote/detalhe/153374", "505")</f>
      </c>
      <c r="B24" s="4" t="s">
        <f>=HYPERLINK("https://www.leilaoonline.net/lote/detalhe/153374", "43 ITENS DIVERSOS, SUCATAS DE VALVULAS, CILINDROS, MOTORES E OUTROS - VEJA DESCRITIVO DE ITENS , LOC. CAARAPÓ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=HYPERLINK("https://www.leilaoonline.net/lote/detalhe/155380", "506")</f>
      </c>
      <c r="B25" s="4" t="s">
        <f>=HYPERLINK("https://www.leilaoonline.net/lote/detalhe/155380", "LOTE COM 55 SUCATAS DE MOTORES , 04 ATUADORES DE VALVULAS , 02 COMPRESSOR COM MOTOR , S/FR, LOC. PASSATEMPO /MS")</f>
      </c>
      <c r="C25" s="4" t="inlineStr">
        <is>
          <t>Não vendido</t>
        </is>
      </c>
      <c r="D25" s="4" t="inlineStr">
        <is>
          <t>56</t>
        </is>
      </c>
      <c r="E25" s="5" t="inlineStr">
        <is>
          <t>70.000,00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=HYPERLINK("https://www.leilaoonline.net/lote/detalhe/155367", "552")</f>
      </c>
      <c r="B26" s="4" t="s">
        <f>=HYPERLINK("https://www.leilaoonline.net/lote/detalhe/155367", "REBOQUE RANDON RQ CA, ANO 2004/2004 - FR14004249 - LOC. SANTA ELISA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=HYPERLINK("https://www.leilaoonline.net/lote/detalhe/153091", "553")</f>
      </c>
      <c r="B27" s="4" t="s">
        <f>=HYPERLINK("https://www.leilaoonline.net/lote/detalhe/153091", "REBOQUE RANDON RQ CI HI, ANO 1996/1996, AZUL, FR14004186, LOC. SANTA ELISA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=HYPERLINK("https://www.leilaoonline.net/lote/detalhe/155366", "556")</f>
      </c>
      <c r="B28" s="4" t="s">
        <f>=HYPERLINK("https://www.leilaoonline.net/lote/detalhe/155366", " SEMI-REBOQUE CANA PICADA SR CA RANDON, ANO 2007/2007 - FR14004307 - LOC. SANTA ELISA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=HYPERLINK("https://www.leilaoonline.net/lote/detalhe/153095", "559")</f>
      </c>
      <c r="B29" s="4" t="s">
        <f>=HYPERLINK("https://www.leilaoonline.net/lote/detalhe/153095", " TRANSBORDO SANTAL , ANO 2008, FR14003321,   LOC. SANTA ELISA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=HYPERLINK("https://www.leilaoonline.net/lote/detalhe/153092", "568")</f>
      </c>
      <c r="B30" s="4" t="s">
        <f>=HYPERLINK("https://www.leilaoonline.net/lote/detalhe/153092", " CARRETA AGRICOLA AREA VIVENCIA 02-4P, ANO 2012, FR14004617, LOC. SANTA ELISA ")</f>
      </c>
      <c r="C30" s="4" t="inlineStr">
        <is>
          <t>Vendido</t>
        </is>
      </c>
      <c r="D30" s="4" t="inlineStr">
        <is>
          <t>2</t>
        </is>
      </c>
      <c r="E30" s="5" t="inlineStr">
        <is>
          <t>3.750,00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=HYPERLINK("https://www.leilaoonline.net/lote/detalhe/153089", "569")</f>
      </c>
      <c r="B31" s="4" t="s">
        <f>=HYPERLINK("https://www.leilaoonline.net/lote/detalhe/153089", " CARRETA AGRICOLA AREA VIVENCIA 02-4P, ANO 2012,  FR14004619 , LOC. SANTA ELISA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=HYPERLINK("https://www.leilaoonline.net/lote/detalhe/155368", "574")</f>
      </c>
      <c r="B32" s="4" t="s">
        <f>=HYPERLINK("https://www.leilaoonline.net/lote/detalhe/155368", " MUNCK VEICULAR , ANO 2010, LOC. SANTA ELISA ")</f>
      </c>
      <c r="C32" s="4" t="inlineStr">
        <is>
          <t>Vendido</t>
        </is>
      </c>
      <c r="D32" s="4" t="inlineStr">
        <is>
          <t>48</t>
        </is>
      </c>
      <c r="E32" s="5" t="inlineStr">
        <is>
          <t>48.000,00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=HYPERLINK("https://www.leilaoonline.net/lote/detalhe/153094", "581")</f>
      </c>
      <c r="B33" s="4" t="s">
        <f>=HYPERLINK("https://www.leilaoonline.net/lote/detalhe/153094", " MOTOBOMBA,ANO 1996, FR14005052, LOC. SANTA ELISA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=HYPERLINK("https://www.leilaoonline.net/lote/detalhe/155376", "594")</f>
      </c>
      <c r="B34" s="4" t="s">
        <f>=HYPERLINK("https://www.leilaoonline.net/lote/detalhe/155376", " CAIXA TRANSBORDO, ANO 2010, FR14003449, LOC. MB")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=HYPERLINK("https://www.leilaoonline.net/lote/detalhe/155378", "595")</f>
      </c>
      <c r="B35" s="4" t="s">
        <f>=HYPERLINK("https://www.leilaoonline.net/lote/detalhe/155378", " CAIXA TRANSBORDO, ANO 2010, FR13004175, LOC. MB")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=HYPERLINK("https://www.leilaoonline.net/lote/detalhe/155379", "596")</f>
      </c>
      <c r="B36" s="4" t="s">
        <f>=HYPERLINK("https://www.leilaoonline.net/lote/detalhe/155379", " CAIXA TRANSBORDO, ANO 2010, FR13004174, LOC. MB")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=HYPERLINK("https://www.leilaoonline.net/lote/detalhe/155377", "597")</f>
      </c>
      <c r="B37" s="4" t="s">
        <f>=HYPERLINK("https://www.leilaoonline.net/lote/detalhe/155377", " CAIXA TRANSBORDO, ANO 2010, FR13004179, LOC. MB")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=HYPERLINK("https://www.leilaoonline.net/lote/detalhe/153098", "599")</f>
      </c>
      <c r="B38" s="4" t="s">
        <f>=HYPERLINK("https://www.leilaoonline.net/lote/detalhe/153098", " TRANSBORDO CIVEMASA, ANO 2010, FR13003069, LOC. MB")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=HYPERLINK("https://www.leilaoonline.net/lote/detalhe/153103", "600")</f>
      </c>
      <c r="B39" s="4" t="s">
        <f>=HYPERLINK("https://www.leilaoonline.net/lote/detalhe/153103", " TRANSBORDO CIVEMASA, ANO 2010, FR14003586, LOC. MB")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=HYPERLINK("https://www.leilaoonline.net/lote/detalhe/153107", "601")</f>
      </c>
      <c r="B40" s="4" t="s">
        <f>=HYPERLINK("https://www.leilaoonline.net/lote/detalhe/153107", " TRANSBORDO CIVEMASA, ANO 2010, FR13003065, LOC. MB")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=HYPERLINK("https://www.leilaoonline.net/lote/detalhe/153100", "602")</f>
      </c>
      <c r="B41" s="4" t="s">
        <f>=HYPERLINK("https://www.leilaoonline.net/lote/detalhe/153100", " TRANSBORDO SANTAL, ANO 2011, FR13003121, LOC. MB")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=HYPERLINK("https://www.leilaoonline.net/lote/detalhe/153101", "604")</f>
      </c>
      <c r="B42" s="4" t="s">
        <f>=HYPERLINK("https://www.leilaoonline.net/lote/detalhe/153101", " TRANSBORDO , ANO 2011, FR13003113, LOC. MB")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=HYPERLINK("https://www.leilaoonline.net/lote/detalhe/153097", "605")</f>
      </c>
      <c r="B43" s="4" t="s">
        <f>=HYPERLINK("https://www.leilaoonline.net/lote/detalhe/153097", " TRANSBORDO , ANO 2011, FR13003111, LOC. MB")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=HYPERLINK("https://www.leilaoonline.net/lote/detalhe/153096", "606")</f>
      </c>
      <c r="B44" s="4" t="s">
        <f>=HYPERLINK("https://www.leilaoonline.net/lote/detalhe/153096", " TRANSBORDO SANTAL, ANO 2011, FR13003122, LOC. MB")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=HYPERLINK("https://www.leilaoonline.net/lote/detalhe/155364", "607")</f>
      </c>
      <c r="B45" s="4" t="s">
        <f>=HYPERLINK("https://www.leilaoonline.net/lote/detalhe/155364", " CARROCERIA TRANSBORDO CAIXOTE DUPLO SANTAL,  ANO 2011, S/FR,  MOD CT6, LOC. MB")</f>
      </c>
      <c r="C45" s="4" t="inlineStr">
        <is>
          <t>Vendido</t>
        </is>
      </c>
      <c r="D45" s="4" t="inlineStr">
        <is>
          <t>1</t>
        </is>
      </c>
      <c r="E45" s="5" t="inlineStr">
        <is>
          <t>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=HYPERLINK("https://www.leilaoonline.net/lote/detalhe/155382", "608")</f>
      </c>
      <c r="B46" s="4" t="s">
        <f>=HYPERLINK("https://www.leilaoonline.net/lote/detalhe/155382", " CAIXA TRANSBORDO DUPLO SANTAL, ANO 2011, S/FR, LOC. MB")</f>
      </c>
      <c r="C46" s="4" t="inlineStr">
        <is>
          <t>Vendido</t>
        </is>
      </c>
      <c r="D46" s="4" t="inlineStr">
        <is>
          <t>1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=HYPERLINK("https://www.leilaoonline.net/lote/detalhe/155383", "609")</f>
      </c>
      <c r="B47" s="4" t="s">
        <f>=HYPERLINK("https://www.leilaoonline.net/lote/detalhe/155383", " CAIXA TRANSBORDO DUPLO SANTA IZABEL, S/FR, LOC. MB")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=HYPERLINK("https://www.leilaoonline.net/lote/detalhe/153104", "610")</f>
      </c>
      <c r="B48" s="4" t="s">
        <f>=HYPERLINK("https://www.leilaoonline.net/lote/detalhe/153104", " TRANSBORDO CIVEMASA, ANO 2010, FR14003455, LOC. MB")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=HYPERLINK("https://www.leilaoonline.net/lote/detalhe/153105", "612")</f>
      </c>
      <c r="B49" s="4" t="s">
        <f>=HYPERLINK("https://www.leilaoonline.net/lote/detalhe/153105", " TRANSBORDO CIVEMASA, ANO 2010, FR13003067, LOC. MB")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=HYPERLINK("https://www.leilaoonline.net/lote/detalhe/155381", "613")</f>
      </c>
      <c r="B50" s="4" t="s">
        <f>=HYPERLINK("https://www.leilaoonline.net/lote/detalhe/155381", " TRATOR VOLVO, ANO 2005, FR13002033, LOC. MB ")</f>
      </c>
      <c r="C50" s="4" t="inlineStr">
        <is>
          <t>Não vendido</t>
        </is>
      </c>
      <c r="D50" s="4" t="inlineStr">
        <is>
          <t>58</t>
        </is>
      </c>
      <c r="E50" s="5" t="inlineStr">
        <is>
          <t>98.000,00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=HYPERLINK("https://www.leilaoonline.net/lote/detalhe/153093", "614")</f>
      </c>
      <c r="B51" s="4" t="s">
        <f>=HYPERLINK("https://www.leilaoonline.net/lote/detalhe/153093", " COLHEDORA CANA JOHN DEERE, ANO 2012, FR9002008, LOC. MB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=HYPERLINK("https://www.leilaoonline.net/lote/detalhe/153102", "615")</f>
      </c>
      <c r="B52" s="4" t="s">
        <f>=HYPERLINK("https://www.leilaoonline.net/lote/detalhe/153102", " COLHEDORA J.DEERE 3520, ANO 2011, FR1002018, LOC. MB")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=HYPERLINK("https://www.leilaoonline.net/lote/detalhe/153099", "618")</f>
      </c>
      <c r="B53" s="4" t="s">
        <f>=HYPERLINK("https://www.leilaoonline.net/lote/detalhe/153099", " COLHEDORA J.DEERE 3522, ANO 2014, FR12802126, LOC. MB")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=HYPERLINK("https://www.leilaoonline.net/lote/detalhe/153106", "621")</f>
      </c>
      <c r="B54" s="4" t="s">
        <f>=HYPERLINK("https://www.leilaoonline.net/lote/detalhe/153106", " HIDRO-ROLL, ANO 2007, FR1003470, LOC. Vale Rosário")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=HYPERLINK("https://www.leilaoonline.net/lote/detalhe/153086", "624")</f>
      </c>
      <c r="B55" s="4" t="s">
        <f>=HYPERLINK("https://www.leilaoonline.net/lote/detalhe/153086", "2 CARRETINHAS SERVIÇOS GERAIS, ANO 2016, FR11003804/FR11003799/,  LOC. VALE DO ROSÁRIO")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=HYPERLINK("https://www.leilaoonline.net/lote/detalhe/153090", "625")</f>
      </c>
      <c r="B56" s="4" t="s">
        <f>=HYPERLINK("https://www.leilaoonline.net/lote/detalhe/153090", "  2 CARRETINHA SERVIÇOS GERAIS, ANO 2016, FR11003792/FR11003797, LOC. VALE DO ROSÁRIO")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=HYPERLINK("https://www.leilaoonline.net/lote/detalhe/153396", "678")</f>
      </c>
      <c r="B57" s="4" t="s">
        <f>=HYPERLINK("https://www.leilaoonline.net/lote/detalhe/153396", " PLATAFORMA HIDRAULICA PARA DISTRIBUIÇÃO. - FR4445338. - LOC. CAARAPÓ/MS")</f>
      </c>
      <c r="C57" s="4" t="inlineStr">
        <is>
          <t>Vendido</t>
        </is>
      </c>
      <c r="D57" s="4" t="inlineStr">
        <is>
          <t>13</t>
        </is>
      </c>
      <c r="E57" s="5" t="inlineStr">
        <is>
          <t>2.800,00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=HYPERLINK("https://www.leilaoonline.net/lote/detalhe/153394", "681")</f>
      </c>
      <c r="B58" s="4" t="s">
        <f>=HYPERLINK("https://www.leilaoonline.net/lote/detalhe/153394", " PLATAFORMA HIDRAULICA PARA DISTRIBUIÇÃO. - FR4445339. - LOC. CAARAPÓ/MS")</f>
      </c>
      <c r="C58" s="4" t="inlineStr">
        <is>
          <t>Vendido</t>
        </is>
      </c>
      <c r="D58" s="4" t="inlineStr">
        <is>
          <t>13</t>
        </is>
      </c>
      <c r="E58" s="5" t="inlineStr">
        <is>
          <t>2.800,00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=HYPERLINK("https://www.leilaoonline.net/lote/detalhe/153395", "706")</f>
      </c>
      <c r="B59" s="4" t="s">
        <f>=HYPERLINK("https://www.leilaoonline.net/lote/detalhe/153395", " PLATAFORMA HIDRAULICA PARA DISTRIBUIÇÃO. - FR4445336. - LOC. CAARAPÓ/MS")</f>
      </c>
      <c r="C59" s="4" t="inlineStr">
        <is>
          <t>Vendido</t>
        </is>
      </c>
      <c r="D59" s="4" t="inlineStr">
        <is>
          <t>12</t>
        </is>
      </c>
      <c r="E59" s="5" t="inlineStr">
        <is>
          <t>2.650,00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=HYPERLINK("https://www.leilaoonline.net/lote/detalhe/153393", "717")</f>
      </c>
      <c r="B60" s="4" t="s">
        <f>=HYPERLINK("https://www.leilaoonline.net/lote/detalhe/153393", " PLATAFORMA HIDRAULICA PARA DISTRIBUIÇÃO. - FR4445340. - LOC. CAARAPÓ/MS")</f>
      </c>
      <c r="C60" s="4" t="inlineStr">
        <is>
          <t>Vendido</t>
        </is>
      </c>
      <c r="D60" s="4" t="inlineStr">
        <is>
          <t>10</t>
        </is>
      </c>
      <c r="E60" s="5" t="inlineStr">
        <is>
          <t>2.350,00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=HYPERLINK("https://www.leilaoonline.net/lote/detalhe/153392", "808")</f>
      </c>
      <c r="B61" s="4" t="s">
        <f>=HYPERLINK("https://www.leilaoonline.net/lote/detalhe/153392", "SEMI-REBOQUE  USICAMP SRCP E2 10000 . ANO 2008/2008. AZUL - FR4493393. - LOC. CAARAPÓ/MS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=HYPERLINK("https://www.leilaoonline.net/lote/detalhe/153391", "827")</f>
      </c>
      <c r="B62" s="4" t="s">
        <f>=HYPERLINK("https://www.leilaoonline.net/lote/detalhe/153391", " FIAT/PALIO FIRE WAY 1.0, ANO 2016/2016. BRANCA - FR4425063. - LOC. CAARAPÓ/MS")</f>
      </c>
      <c r="C62" s="4" t="inlineStr">
        <is>
          <t>Vendido</t>
        </is>
      </c>
      <c r="D62" s="4" t="inlineStr">
        <is>
          <t>3</t>
        </is>
      </c>
      <c r="E62" s="5" t="inlineStr">
        <is>
          <t>13.000,00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=HYPERLINK("https://www.leilaoonline.net/lote/detalhe/153390", "828")</f>
      </c>
      <c r="B63" s="4" t="s">
        <f>=HYPERLINK("https://www.leilaoonline.net/lote/detalhe/153390", " FIAT/PALIO FIRE WAY 1.0 ANO 2016/2016. BRANCA - FR4425068. - LOC CAARAPÓ/MS")</f>
      </c>
      <c r="C63" s="4" t="inlineStr">
        <is>
          <t>Vendido</t>
        </is>
      </c>
      <c r="D63" s="4" t="inlineStr">
        <is>
          <t>2</t>
        </is>
      </c>
      <c r="E63" s="5" t="inlineStr">
        <is>
          <t>12.500,00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=HYPERLINK("https://www.leilaoonline.net/lote/detalhe/153375", "906")</f>
      </c>
      <c r="B64" s="4" t="s">
        <f>=HYPERLINK("https://www.leilaoonline.net/lote/detalhe/153375", " TRANSBORDO TAC 13000, ANO 2007. - FR.5004750 . -LOC. PASSATEMPO/MS")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=HYPERLINK("https://www.leilaoonline.net/lote/detalhe/153376", "908")</f>
      </c>
      <c r="B65" s="4" t="s">
        <f>=HYPERLINK("https://www.leilaoonline.net/lote/detalhe/153376", " TRANSB VT 10 ARRASTE TRAT, ANO 2012. - FR. 5003039. - LOC. PASSATEMPO/MS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=HYPERLINK("https://www.leilaoonline.net/lote/detalhe/153377", "914")</f>
      </c>
      <c r="B66" s="4" t="s">
        <f>=HYPERLINK("https://www.leilaoonline.net/lote/detalhe/153377", " TRANSBORDO TAC 13000, ANO 2008. - FR.5004802 . -LOC. PASSATEMPO/MS")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=HYPERLINK("https://www.leilaoonline.net/lote/detalhe/153385", "926")</f>
      </c>
      <c r="B67" s="4" t="s">
        <f>=HYPERLINK("https://www.leilaoonline.net/lote/detalhe/153385", " TRANSB VT 10 ARRASTE TRAT, ANO 2012. - FR. 5003038. - LOC. PASSATEMPO/MS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=HYPERLINK("https://www.leilaoonline.net/lote/detalhe/153381", "928")</f>
      </c>
      <c r="B68" s="4" t="s">
        <f>=HYPERLINK("https://www.leilaoonline.net/lote/detalhe/153381", " TRANSB SANTAL VT 10 ARRASTE TRAT, ANO 2010. - FR. 5004767. - LOC. PASSATEMPO/MS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=HYPERLINK("https://www.leilaoonline.net/lote/detalhe/153384", "953")</f>
      </c>
      <c r="B69" s="4" t="s">
        <f>=HYPERLINK("https://www.leilaoonline.net/lote/detalhe/153384", " TRANSBORDO SANTAL VT-10 - FR. 1003051. - LOC. RIO BRILHANTE/MS")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=HYPERLINK("https://www.leilaoonline.net/lote/detalhe/153383", "955")</f>
      </c>
      <c r="B70" s="4" t="s">
        <f>=HYPERLINK("https://www.leilaoonline.net/lote/detalhe/153383", " TRANSBORDO SERMAG SERRANA SMR-10500, ANO 2009. - FR. 14003437. - LOC. RIO BRILHANTE/MS")</f>
      </c>
      <c r="C70" s="4" t="inlineStr">
        <is>
          <t>Vendido</t>
        </is>
      </c>
      <c r="D70" s="4" t="inlineStr">
        <is>
          <t>1</t>
        </is>
      </c>
      <c r="E70" s="5" t="inlineStr">
        <is>
          <t>15.000,00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=HYPERLINK("https://www.leilaoonline.net/lote/detalhe/153386", "958")</f>
      </c>
      <c r="B71" s="4" t="s">
        <f>=HYPERLINK("https://www.leilaoonline.net/lote/detalhe/153386", " TRANSBORDO RCAM 10000KG 24M³ 4700X355. - FR. 5004756. - LOC. RIO BRILHANTE/MS")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=HYPERLINK("https://www.leilaoonline.net/lote/detalhe/153379", "959")</f>
      </c>
      <c r="B72" s="4" t="s">
        <f>=HYPERLINK("https://www.leilaoonline.net/lote/detalhe/153379", " TRANSBORDO ARR 10500KG 24M³ 4700X3550MM 7350KG,. - FR. 9003055. - LOC. RIO BRILHANTE/MS")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=HYPERLINK("https://www.leilaoonline.net/lote/detalhe/153380", "960")</f>
      </c>
      <c r="B73" s="4" t="s">
        <f>=HYPERLINK("https://www.leilaoonline.net/lote/detalhe/153380", " TRANSBORDO ARR 10500KG 24M³ 4700X3550MM 7350KG. - FR. 9003050. - LOC. RIO BRILHANTE/MS")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=HYPERLINK("https://www.leilaoonline.net/lote/detalhe/153382", "962")</f>
      </c>
      <c r="B74" s="4" t="s">
        <f>=HYPERLINK("https://www.leilaoonline.net/lote/detalhe/153382", " TRANSB VT 10 ARRASTE TRAT , ANO 2012. - FR. 5003031. - LOC. RIO BRILHANTE/MS")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=HYPERLINK("https://www.leilaoonline.net/lote/detalhe/156772", "975")</f>
      </c>
      <c r="B75" s="4" t="s">
        <f>=HYPERLINK("https://www.leilaoonline.net/lote/detalhe/156772", "veja o vídeo !!! COLHEDORA JOHN DEERE 3522, ANO 2014, FR9002034, 9 BATERIA NÃ FAZ PARTE DO LOTE ) LOC. RIO BRILHANTE ")</f>
      </c>
      <c r="C75" s="4" t="inlineStr">
        <is>
          <t>Vendido</t>
        </is>
      </c>
      <c r="D75" s="4" t="inlineStr">
        <is>
          <t>1</t>
        </is>
      </c>
      <c r="E75" s="5" t="inlineStr">
        <is>
          <t>60.000,00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=HYPERLINK("https://www.leilaoonline.net/lote/detalhe/156773", "981")</f>
      </c>
      <c r="B76" s="4" t="s">
        <f>=HYPERLINK("https://www.leilaoonline.net/lote/detalhe/156773", "veja o vídeo!!!! COLHEDORA JOHN DEERE 3522, ANO 2013, FR5002011, ( OBS. BATERIA NÃO FAZ PARTE DO LOTE )  LOC. RIO BRILHANTE ")</f>
      </c>
      <c r="C76" s="4" t="inlineStr">
        <is>
          <t>Vendido</t>
        </is>
      </c>
      <c r="D76" s="4" t="inlineStr">
        <is>
          <t>1</t>
        </is>
      </c>
      <c r="E76" s="5" t="inlineStr">
        <is>
          <t>60.000,00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=HYPERLINK("https://www.leilaoonline.net/lote/detalhe/153298", "988")</f>
      </c>
      <c r="B77" s="4" t="s">
        <f>=HYPERLINK("https://www.leilaoonline.net/lote/detalhe/153298", " COLHEDORA JOHN DEERE 3520 , ANO 2010, FR5002553, LOC. RIO BRILHANTE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25.000,00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=HYPERLINK("https://www.leilaoonline.net/lote/detalhe/153360", "1002")</f>
      </c>
      <c r="B78" s="4" t="s">
        <f>=HYPERLINK("https://www.leilaoonline.net/lote/detalhe/153360", " REBOQUE RANDONSP RQ CA,  ANO 2012/2013, CINZA,  FR46958, LOC. IPAUSSU ")</f>
      </c>
      <c r="C78" s="4" t="inlineStr">
        <is>
          <t>Vendido</t>
        </is>
      </c>
      <c r="D78" s="4" t="inlineStr">
        <is>
          <t>4</t>
        </is>
      </c>
      <c r="E78" s="5" t="inlineStr">
        <is>
          <t>38.000,00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=HYPERLINK("https://www.leilaoonline.net/lote/detalhe/153345", "1003")</f>
      </c>
      <c r="B79" s="4" t="s">
        <f>=HYPERLINK("https://www.leilaoonline.net/lote/detalhe/153345", " S.REBOQUE  RANDONSP SRCA CA, ANO 2012/2013, CINZA, FR46963, LOC. IPAUSSU ")</f>
      </c>
      <c r="C79" s="4" t="inlineStr">
        <is>
          <t>Vendido</t>
        </is>
      </c>
      <c r="D79" s="4" t="inlineStr">
        <is>
          <t>1</t>
        </is>
      </c>
      <c r="E79" s="5" t="inlineStr">
        <is>
          <t>35.000,00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=HYPERLINK("https://www.leilaoonline.net/lote/detalhe/153330", "1009")</f>
      </c>
      <c r="B80" s="4" t="s">
        <f>=HYPERLINK("https://www.leilaoonline.net/lote/detalhe/153330", " S.REBOQUE USICAMP SRCP E2 10000, ANO 2088/2008, AZUL, FR46852, LOC. IPAUSSU 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26.000,00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=HYPERLINK("https://www.leilaoonline.net/lote/detalhe/153233", "1011")</f>
      </c>
      <c r="B81" s="4" t="s">
        <f>=HYPERLINK("https://www.leilaoonline.net/lote/detalhe/153233", " REBOQUE RANDONSP RQ CA, ANO 2010/2010, AZUL , FR46873, LOC. IPAUSSU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=HYPERLINK("https://www.leilaoonline.net/lote/detalhe/153350", "1013")</f>
      </c>
      <c r="B82" s="4" t="s">
        <f>=HYPERLINK("https://www.leilaoonline.net/lote/detalhe/153350", " S.REBOQUE USICAMP SRCP E2 10000, ANO 2008/2008, AZUL, FR121449 , LOC. IPAUSSU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=HYPERLINK("https://www.leilaoonline.net/lote/detalhe/153352", "1015")</f>
      </c>
      <c r="B83" s="4" t="s">
        <f>=HYPERLINK("https://www.leilaoonline.net/lote/detalhe/153352", " S.REBOQUE  RANDONSP SRCA CA, ANO 2013/2014, CINZA, FR46977, LOC. IPAUSSU ")</f>
      </c>
      <c r="C83" s="4" t="inlineStr">
        <is>
          <t>Vendido</t>
        </is>
      </c>
      <c r="D83" s="4" t="inlineStr">
        <is>
          <t>3</t>
        </is>
      </c>
      <c r="E83" s="5" t="inlineStr">
        <is>
          <t>37.000,00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=HYPERLINK("https://www.leilaoonline.net/lote/detalhe/153357", "1022")</f>
      </c>
      <c r="B84" s="4" t="s">
        <f>=HYPERLINK("https://www.leilaoonline.net/lote/detalhe/153357", " REBOQUE RANDONSP RQ CA, ANO 2010/2010, AZUL, FR46885,( SINISTRADO/RECUPERADO)  LOC. IPAUSSU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=HYPERLINK("https://www.leilaoonline.net/lote/detalhe/153362", "1023")</f>
      </c>
      <c r="B85" s="4" t="s">
        <f>=HYPERLINK("https://www.leilaoonline.net/lote/detalhe/153362", "REBOQUE RANDONSP RQ CA, ANO 2013/2014, CINZA, FR46968, LOC. IPAUSSU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=HYPERLINK("https://www.leilaoonline.net/lote/detalhe/153366", "1025")</f>
      </c>
      <c r="B86" s="4" t="s">
        <f>=HYPERLINK("https://www.leilaoonline.net/lote/detalhe/153366", "REBOQUE  RANDONSP RQ CA , ANO 2012/2012, AZUL , FR46938, LOC. IPAUSSU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=HYPERLINK("https://www.leilaoonline.net/lote/detalhe/153349", "1028")</f>
      </c>
      <c r="B87" s="4" t="s">
        <f>=HYPERLINK("https://www.leilaoonline.net/lote/detalhe/153349", "REBOQUE RANDONSP RQ CA, ANO 2012/2013, CINZA, FR46962, COM SINISTRO RECUPERADO MEDIA MONTA, LOC. IPAUSSU ")</f>
      </c>
      <c r="C87" s="4" t="inlineStr">
        <is>
          <t>Vendido</t>
        </is>
      </c>
      <c r="D87" s="4" t="inlineStr">
        <is>
          <t>1</t>
        </is>
      </c>
      <c r="E87" s="5" t="inlineStr">
        <is>
          <t>35.000,00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=HYPERLINK("https://www.leilaoonline.net/lote/detalhe/153347", "1056")</f>
      </c>
      <c r="B88" s="4" t="s">
        <f>=HYPERLINK("https://www.leilaoonline.net/lote/detalhe/153347", " COLHEDORA JOHN DEERE 3522 2L , ANO 2010, FR50145, LOC. DIAMANTE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=HYPERLINK("https://www.leilaoonline.net/lote/detalhe/153361", "1122")</f>
      </c>
      <c r="B89" s="4" t="s">
        <f>=HYPERLINK("https://www.leilaoonline.net/lote/detalhe/153361", " DES.PALHA GIROFLEX 1LDRIA, ANO 2014, FR103435, LOC. BARRA ")</f>
      </c>
      <c r="C89" s="4" t="inlineStr">
        <is>
          <t>Vendido</t>
        </is>
      </c>
      <c r="D89" s="4" t="inlineStr">
        <is>
          <t>1</t>
        </is>
      </c>
      <c r="E89" s="5" t="inlineStr">
        <is>
          <t>2.500,00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=HYPERLINK("https://www.leilaoonline.net/lote/detalhe/153388", "1173")</f>
      </c>
      <c r="B90" s="4" t="s">
        <f>=HYPERLINK("https://www.leilaoonline.net/lote/detalhe/153388", "S.REBOQUE  RANDON 12,50 M, ANO 2010/2011, AMARELA. - FR51267. - LOC. CAARAPÓ/MS")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=HYPERLINK("https://www.leilaoonline.net/lote/detalhe/153387", "1186")</f>
      </c>
      <c r="B91" s="4" t="s">
        <f>=HYPERLINK("https://www.leilaoonline.net/lote/detalhe/153387", "S.REBOQUE  RANDON 12,50 M, ANO 2008/2008., AMARELA - FR51164. - LOC. CAARAPÓ/MS")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=HYPERLINK("https://www.leilaoonline.net/lote/detalhe/153389", "1195")</f>
      </c>
      <c r="B92" s="4" t="s">
        <f>=HYPERLINK("https://www.leilaoonline.net/lote/detalhe/153389", " S.REBOQUE  RANDON 12,50 M, ANO 2010/2011, AMARELA - FR51282. - LOC. CAARAPÓ/MS")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=HYPERLINK("https://www.leilaoonline.net/lote/detalhe/153401", "1210")</f>
      </c>
      <c r="B93" s="4" t="s">
        <f>=HYPERLINK("https://www.leilaoonline.net/lote/detalhe/153401", "CARRETA TRANSPORTE TUBOS, ANO 2009. - FR45097. - LOC. CAARAPÓ/MS")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=HYPERLINK("https://www.leilaoonline.net/lote/detalhe/153400", "1212")</f>
      </c>
      <c r="B94" s="4" t="s">
        <f>=HYPERLINK("https://www.leilaoonline.net/lote/detalhe/153400", " CARRETA TRANSPORTE TUBOS, ANO 2009. - FR45099. - LOC. CAARAPÓ/MS")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=HYPERLINK("https://www.leilaoonline.net/lote/detalhe/153398", "1213")</f>
      </c>
      <c r="B95" s="4" t="s">
        <f>=HYPERLINK("https://www.leilaoonline.net/lote/detalhe/153398", " CARRETA TRANSPORTE TUBOS, ANO 2009. - FR45098. - LOC. CAARAPÓ/MS")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=HYPERLINK("https://www.leilaoonline.net/lote/detalhe/153399", "1214")</f>
      </c>
      <c r="B96" s="4" t="s">
        <f>=HYPERLINK("https://www.leilaoonline.net/lote/detalhe/153399", " CARRETA TRANSPORTE TUBOS. - FR48525. - LOC. CAARAPÓ/MS")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=HYPERLINK("https://www.leilaoonline.net/lote/detalhe/153397", "1215")</f>
      </c>
      <c r="B97" s="4" t="s">
        <f>=HYPERLINK("https://www.leilaoonline.net/lote/detalhe/153397", " PLANTADEIRA SOLLUS PLANTFLEX 8080, ANO 2011. - FR47045. - LOC. CAARAPÓ/MS")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=HYPERLINK("https://www.leilaoonline.net/lote/detalhe/156798", "1231")</f>
      </c>
      <c r="B98" s="4" t="s">
        <f>=HYPERLINK("https://www.leilaoonline.net/lote/detalhe/156798", " HONDA BROS VERMELHA 125CC. ANO 2006/2007- FR5006074. - LOC. PASSATEMPO")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=HYPERLINK("https://www.leilaoonline.net/lote/detalhe/153110", "1282")</f>
      </c>
      <c r="B99" s="4" t="s">
        <f>=HYPERLINK("https://www.leilaoonline.net/lote/detalhe/153110", " MOTOBOMBA - UNIDADE VALE DO ROSÁRIO")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3.500,00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=HYPERLINK("https://www.leilaoonline.net/lote/detalhe/153111", "1285")</f>
      </c>
      <c r="B100" s="4" t="s">
        <f>=HYPERLINK("https://www.leilaoonline.net/lote/detalhe/153111", " COLHEDORA JOHN DEERE 3522, ANO 2014,  FR11002182 - UNIDADE VALE DO ROSÁRIO")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=HYPERLINK("https://www.leilaoonline.net/lote/detalhe/153109", "1312")</f>
      </c>
      <c r="B101" s="4" t="s">
        <f>=HYPERLINK("https://www.leilaoonline.net/lote/detalhe/153109", " TRANSBORDO CIVEMASA TAC ARR 10500KG 24M³ 4700X3550,ANO  2010 FR13003070 - UNIDADE MB")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=HYPERLINK("https://www.leilaoonline.net/lote/detalhe/153088", "1333")</f>
      </c>
      <c r="B102" s="4" t="s">
        <f>=HYPERLINK("https://www.leilaoonline.net/lote/detalhe/153088", " SEMI REBOQUE CANA PICADA MCA RANDON, ANO 1997, FR14004218, LOC. SANTA ELISA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=HYPERLINK("https://www.leilaoonline.net/lote/detalhe/153087", "1335")</f>
      </c>
      <c r="B103" s="4" t="s">
        <f>=HYPERLINK("https://www.leilaoonline.net/lote/detalhe/153087", "REBOQUE RODOVIARIA SR CN HI, ANO 1995/1995 - FR14004180 - LOC. SANTA ELISA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=HYPERLINK("https://www.leilaoonline.net/lote/detalhe/153112", "1370")</f>
      </c>
      <c r="B104" s="4" t="s">
        <f>=HYPERLINK("https://www.leilaoonline.net/lote/detalhe/153112", " CAMINHÃO VW 12.140 H C/CAÇAMBA BASCULANTE, ANO 1996/1996, BRANCA ,  FR11001112, LOC. VALE DO ROSÁRIO ")</f>
      </c>
      <c r="C104" s="4" t="inlineStr">
        <is>
          <t>Não vendido</t>
        </is>
      </c>
      <c r="D104" s="4" t="inlineStr">
        <is>
          <t>6</t>
        </is>
      </c>
      <c r="E104" s="5" t="inlineStr">
        <is>
          <t>20.000,00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=HYPERLINK("https://www.leilaoonline.net/lote/detalhe/153331", "2116")</f>
      </c>
      <c r="B105" s="4" t="s">
        <f>=HYPERLINK("https://www.leilaoonline.net/lote/detalhe/153331", " CAMINHÃO M.BENZ 2220 6X4 CARROCERIA, ANO 1987/1987, FR135625, BRANCA, (TRANSFERÊNCIA APENAS PARA SP), LOC. JATAI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=HYPERLINK("https://www.leilaoonline.net/lote/detalhe/153365", "3338")</f>
      </c>
      <c r="B106" s="4" t="s">
        <f>=HYPERLINK("https://www.leilaoonline.net/lote/detalhe/153365", " 4 MACACO HIDRAÚLICO, 1 CALIBRADOR E 1 MAQ. SOLDA, S/FR, LOC. BARRA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=HYPERLINK("https://www.leilaoonline.net/lote/detalhe/153367", "3610")</f>
      </c>
      <c r="B107" s="4" t="s">
        <f>=HYPERLINK("https://www.leilaoonline.net/lote/detalhe/153367", " 02 DESENLEI. PALHA CARDEROLI, ANO 2018, FR74046/ FR74043, LOC. DIAMANTE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=HYPERLINK("https://www.leilaoonline.net/lote/detalhe/153355", "3611")</f>
      </c>
      <c r="B108" s="4" t="s">
        <f>=HYPERLINK("https://www.leilaoonline.net/lote/detalhe/153355", " ENLEIRADEIRA, FR103409, LOC. DIAMANTE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=HYPERLINK("https://www.leilaoonline.net/lote/detalhe/153239", "3612")</f>
      </c>
      <c r="B109" s="4" t="s">
        <f>=HYPERLINK("https://www.leilaoonline.net/lote/detalhe/153239", " TRANSBORDO ATA 12000 12T, ANO 2012, FR70619, LOC. DIAMANTE")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11.500,00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=HYPERLINK("https://www.leilaoonline.net/lote/detalhe/153353", "3613")</f>
      </c>
      <c r="B110" s="4" t="s">
        <f>=HYPERLINK("https://www.leilaoonline.net/lote/detalhe/153353", " CARRETA TRANSP. TUBO, FR71024, LOC. DIAMANTE 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2.500,00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=HYPERLINK("https://www.leilaoonline.net/lote/detalhe/153237", "3614")</f>
      </c>
      <c r="B111" s="4" t="s">
        <f>=HYPERLINK("https://www.leilaoonline.net/lote/detalhe/153237", " COLHEDORA JOHN DEERE 3522 2L , ANO 2013, FR117550, LOC. DIAMANTE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=HYPERLINK("https://www.leilaoonline.net/lote/detalhe/153346", "3615")</f>
      </c>
      <c r="B112" s="4" t="s">
        <f>=HYPERLINK("https://www.leilaoonline.net/lote/detalhe/153346", " SUPER CULTIV. ADUBADE DMB, ANO 2013, FR103948, LOC. DIAMANTE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=HYPERLINK("https://www.leilaoonline.net/lote/detalhe/153363", "3616")</f>
      </c>
      <c r="B113" s="4" t="s">
        <f>=HYPERLINK("https://www.leilaoonline.net/lote/detalhe/153363", " DESENLEI. PALHA CARDEROLI, ANO 2018, FR103098, LOC. DIAMANTE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=HYPERLINK("https://www.leilaoonline.net/lote/detalhe/153364", "3617")</f>
      </c>
      <c r="B114" s="4" t="s">
        <f>=HYPERLINK("https://www.leilaoonline.net/lote/detalhe/153364", " CARRETA TORTA DE FILTRO, ANO 2003, FR103631, LOC. DIAMANTE ")</f>
      </c>
      <c r="C114" s="4" t="inlineStr">
        <is>
          <t>Vendido</t>
        </is>
      </c>
      <c r="D114" s="4" t="inlineStr">
        <is>
          <t>4</t>
        </is>
      </c>
      <c r="E114" s="5" t="inlineStr">
        <is>
          <t>5.750,00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=HYPERLINK("https://www.leilaoonline.net/lote/detalhe/153368", "3618")</f>
      </c>
      <c r="B115" s="4" t="s">
        <f>=HYPERLINK("https://www.leilaoonline.net/lote/detalhe/153368", " CARRETA TORTA DE FILTRO, ANO 2012, FR103667, LOC. DIAMANTE ")</f>
      </c>
      <c r="C115" s="4" t="inlineStr">
        <is>
          <t>Vendido</t>
        </is>
      </c>
      <c r="D115" s="4" t="inlineStr">
        <is>
          <t>3</t>
        </is>
      </c>
      <c r="E115" s="5" t="inlineStr">
        <is>
          <t>3.500,00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=HYPERLINK("https://www.leilaoonline.net/lote/detalhe/153118", "3619")</f>
      </c>
      <c r="B116" s="4" t="s">
        <f>=HYPERLINK("https://www.leilaoonline.net/lote/detalhe/153118", " ÔNIBUS MERCEDES BENZ OG 1315, ANO 1991/1992, BRANCO. - FR. 97493. - LOC. DIAMANTE/SP")</f>
      </c>
      <c r="C116" s="4" t="inlineStr">
        <is>
          <t>Não vendido</t>
        </is>
      </c>
      <c r="D116" s="4" t="inlineStr">
        <is>
          <t>24</t>
        </is>
      </c>
      <c r="E116" s="5" t="inlineStr">
        <is>
          <t>24.000,00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=HYPERLINK("https://www.leilaoonline.net/lote/detalhe/153127", "3620")</f>
      </c>
      <c r="B117" s="4" t="s">
        <f>=HYPERLINK("https://www.leilaoonline.net/lote/detalhe/153127", " Carreta Esp.Calc. Sollus, ANO 2008. - FR.103785. - LOC. DIAMANTE/SP")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=HYPERLINK("https://www.leilaoonline.net/lote/detalhe/153119", "3621")</f>
      </c>
      <c r="B118" s="4" t="s">
        <f>=HYPERLINK("https://www.leilaoonline.net/lote/detalhe/153119", " Transbordo ATA 12000 12T, ANO 2012. - FR.70626. - LOC. DIAMANTE/SP")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=HYPERLINK("https://www.leilaoonline.net/lote/detalhe/153125", "3622")</f>
      </c>
      <c r="B119" s="4" t="s">
        <f>=HYPERLINK("https://www.leilaoonline.net/lote/detalhe/153125", " Transbordo Santal 12 T, ANO 2007. - FR.101938. - LOC. DIAMANTE/SP")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=HYPERLINK("https://www.leilaoonline.net/lote/detalhe/153126", "3623")</f>
      </c>
      <c r="B120" s="4" t="s">
        <f>=HYPERLINK("https://www.leilaoonline.net/lote/detalhe/153126", " Transbordo ATA 12000 12T, ANO 2018. - FR.70625. - LOC. DIAMANTE/SP")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=HYPERLINK("https://www.leilaoonline.net/lote/detalhe/153114", "3624")</f>
      </c>
      <c r="B121" s="4" t="s">
        <f>=HYPERLINK("https://www.leilaoonline.net/lote/detalhe/153114", " Transbordo ATA 12000 12T, ANO 2012. - FR.70632. - LOC. DIAMANTE/SP")</f>
      </c>
      <c r="C121" s="4" t="inlineStr">
        <is>
          <t>Não vendido</t>
        </is>
      </c>
      <c r="D121" s="4" t="inlineStr">
        <is>
          <t>9</t>
        </is>
      </c>
      <c r="E121" s="5" t="inlineStr">
        <is>
          <t>18.000,00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=HYPERLINK("https://www.leilaoonline.net/lote/detalhe/153115", "3625")</f>
      </c>
      <c r="B122" s="4" t="s">
        <f>=HYPERLINK("https://www.leilaoonline.net/lote/detalhe/153115", " Transbordo ATA 12000 12T, ANO 2012. - FR.70636. - LOC. DIAMANTE/SP")</f>
      </c>
      <c r="C122" s="4" t="inlineStr">
        <is>
          <t>Não vendido</t>
        </is>
      </c>
      <c r="D122" s="4" t="inlineStr">
        <is>
          <t>18</t>
        </is>
      </c>
      <c r="E122" s="5" t="inlineStr">
        <is>
          <t>18.500,00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=HYPERLINK("https://www.leilaoonline.net/lote/detalhe/153124", "3626")</f>
      </c>
      <c r="B123" s="4" t="s">
        <f>=HYPERLINK("https://www.leilaoonline.net/lote/detalhe/153124", " 8 Tubos e 50 Conexões Aprox. - S/FR. - LOC. DIAMANTE/SP")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3.000,00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=HYPERLINK("https://www.leilaoonline.net/lote/detalhe/153122", "3627")</f>
      </c>
      <c r="B124" s="4" t="s">
        <f>=HYPERLINK("https://www.leilaoonline.net/lote/detalhe/153122", " Partes Diversas de Implementos (super cultivador, cultivador, adubadeira...) - S/FR. - LOC. DIAMANTE/SP")</f>
      </c>
      <c r="C124" s="4" t="inlineStr">
        <is>
          <t>Não vendido</t>
        </is>
      </c>
      <c r="D124" s="4" t="inlineStr">
        <is>
          <t>13</t>
        </is>
      </c>
      <c r="E124" s="5" t="inlineStr">
        <is>
          <t>6.000,00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=HYPERLINK("https://www.leilaoonline.net/lote/detalhe/153129", "3628")</f>
      </c>
      <c r="B125" s="4" t="s">
        <f>=HYPERLINK("https://www.leilaoonline.net/lote/detalhe/153129", " Bazuka. - S/FR. - LOC. DIAMANTE/SP")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2.500,00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=HYPERLINK("https://www.leilaoonline.net/lote/detalhe/153123", "3629")</f>
      </c>
      <c r="B126" s="4" t="s">
        <f>=HYPERLINK("https://www.leilaoonline.net/lote/detalhe/153123", " Bazuka S/FR. - LOC. DIAMANTE/SP")</f>
      </c>
      <c r="C126" s="4" t="inlineStr">
        <is>
          <t>Não vendido</t>
        </is>
      </c>
      <c r="D126" s="4" t="inlineStr">
        <is>
          <t>5</t>
        </is>
      </c>
      <c r="E126" s="5" t="inlineStr">
        <is>
          <t>3.500,00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=HYPERLINK("https://www.leilaoonline.net/lote/detalhe/153131", "3630")</f>
      </c>
      <c r="B127" s="4" t="s">
        <f>=HYPERLINK("https://www.leilaoonline.net/lote/detalhe/153131", " Trator Valtra BH 210I 4x4, ANO 2014. - FR.106669. - LOC. DIAMANTE/SP")</f>
      </c>
      <c r="C127" s="4" t="inlineStr">
        <is>
          <t>Vendido</t>
        </is>
      </c>
      <c r="D127" s="4" t="inlineStr">
        <is>
          <t>93</t>
        </is>
      </c>
      <c r="E127" s="5" t="inlineStr">
        <is>
          <t>157.000,00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=HYPERLINK("https://www.leilaoonline.net/lote/detalhe/153117", "3631")</f>
      </c>
      <c r="B128" s="4" t="s">
        <f>=HYPERLINK("https://www.leilaoonline.net/lote/detalhe/153117", " Trator Valtra BM 100, ANO 2012. - FR.19839. - LOC. SANTA CANDIDA/SP")</f>
      </c>
      <c r="C128" s="4" t="inlineStr">
        <is>
          <t>Vendido</t>
        </is>
      </c>
      <c r="D128" s="4" t="inlineStr">
        <is>
          <t>52</t>
        </is>
      </c>
      <c r="E128" s="5" t="inlineStr">
        <is>
          <t>136.000,00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=HYPERLINK("https://www.leilaoonline.net/lote/detalhe/153116", "3632")</f>
      </c>
      <c r="B129" s="4" t="s">
        <f>=HYPERLINK("https://www.leilaoonline.net/lote/detalhe/153116", " Trator Valtra BH 210I 4X4, ANO 2014. - FR.81545. - LOC. SANTA CANDIDA/SP")</f>
      </c>
      <c r="C129" s="4" t="inlineStr">
        <is>
          <t>Vendido</t>
        </is>
      </c>
      <c r="D129" s="4" t="inlineStr">
        <is>
          <t>77</t>
        </is>
      </c>
      <c r="E129" s="5" t="inlineStr">
        <is>
          <t>178.000,00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=HYPERLINK("https://www.leilaoonline.net/lote/detalhe/153120", "3633")</f>
      </c>
      <c r="B130" s="4" t="s">
        <f>=HYPERLINK("https://www.leilaoonline.net/lote/detalhe/153120", " FIAT STRADA WORKING, ANO 2015/2016, BRANCA. - FR.19617. - LOC. SANTA CANDIDA/SP")</f>
      </c>
      <c r="C130" s="4" t="inlineStr">
        <is>
          <t>Vendido</t>
        </is>
      </c>
      <c r="D130" s="4" t="inlineStr">
        <is>
          <t>23</t>
        </is>
      </c>
      <c r="E130" s="5" t="inlineStr">
        <is>
          <t>29.500,00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=HYPERLINK("https://www.leilaoonline.net/lote/detalhe/153121", "3634")</f>
      </c>
      <c r="B131" s="4" t="s">
        <f>=HYPERLINK("https://www.leilaoonline.net/lote/detalhe/153121", " VW. GOL TL MBV, ANO 2016/2017, BRANCA. - FR.20073. - LOC. SANTA CANDIDA/SP")</f>
      </c>
      <c r="C131" s="4" t="inlineStr">
        <is>
          <t>Não vendido</t>
        </is>
      </c>
      <c r="D131" s="4" t="inlineStr">
        <is>
          <t>11</t>
        </is>
      </c>
      <c r="E131" s="5" t="inlineStr">
        <is>
          <t>19.250,00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=HYPERLINK("https://www.leilaoonline.net/lote/detalhe/153128", "3635")</f>
      </c>
      <c r="B132" s="4" t="s">
        <f>=HYPERLINK("https://www.leilaoonline.net/lote/detalhe/153128", " 1 Centrifuga Desmontada. - S/FR. - LOC. SANTA CANDIDA/SP")</f>
      </c>
      <c r="C132" s="4" t="inlineStr">
        <is>
          <t>Não vendido</t>
        </is>
      </c>
      <c r="D132" s="4" t="inlineStr">
        <is>
          <t>11</t>
        </is>
      </c>
      <c r="E132" s="5" t="inlineStr">
        <is>
          <t>6.000,00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=HYPERLINK("https://www.leilaoonline.net/lote/detalhe/153113", "3636")</f>
      </c>
      <c r="B133" s="4" t="s">
        <f>=HYPERLINK("https://www.leilaoonline.net/lote/detalhe/153113", " Sucata de Eletro/eletrônico (refletore/luminarias/paineis), 7 vidros, 1 motor elétrico, 4 Bag com Junta de Vedação, 1 Ar Condicionado Central. - S/FR. - LOC. SANTA CANDIDA/SP")</f>
      </c>
      <c r="C133" s="4" t="inlineStr">
        <is>
          <t>Vendido</t>
        </is>
      </c>
      <c r="D133" s="4" t="inlineStr">
        <is>
          <t>11</t>
        </is>
      </c>
      <c r="E133" s="5" t="inlineStr">
        <is>
          <t>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=HYPERLINK("https://www.leilaoonline.net/lote/detalhe/153132", "3638")</f>
      </c>
      <c r="B134" s="4" t="s">
        <f>=HYPERLINK("https://www.leilaoonline.net/lote/detalhe/153132", " Transbordo Santal, ANO 2015. - FR.17301. - LOC. SANTA CANDIDA/SP")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=HYPERLINK("https://www.leilaoonline.net/lote/detalhe/153138", "3639")</f>
      </c>
      <c r="B135" s="4" t="s">
        <f>=HYPERLINK("https://www.leilaoonline.net/lote/detalhe/153138", " 2 Transbordos Santal 12 T (venda o conjunto), ANO 2015. - FR.17331/17302. - LOC. SANTA CANDIDA/SP")</f>
      </c>
      <c r="C135" s="4" t="inlineStr">
        <is>
          <t>Vendido</t>
        </is>
      </c>
      <c r="D135" s="4" t="inlineStr">
        <is>
          <t>19</t>
        </is>
      </c>
      <c r="E135" s="5" t="inlineStr">
        <is>
          <t>33.000,00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=HYPERLINK("https://www.leilaoonline.net/lote/detalhe/153133", "3640")</f>
      </c>
      <c r="B136" s="4" t="s">
        <f>=HYPERLINK("https://www.leilaoonline.net/lote/detalhe/153133", " Transbordo Ata, ANO 2010. - FR.102003. - LOC. SANTA CANDIDA/SP")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10.000,00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=HYPERLINK("https://www.leilaoonline.net/lote/detalhe/153134", "3641")</f>
      </c>
      <c r="B137" s="4" t="s">
        <f>=HYPERLINK("https://www.leilaoonline.net/lote/detalhe/153134", " Super Cultivador, 3 Pneus e 2 Tanques Plastico. - FR.20126. - LOC. SANTA CANDIDA/SP")</f>
      </c>
      <c r="C137" s="4" t="inlineStr">
        <is>
          <t>Vendido</t>
        </is>
      </c>
      <c r="D137" s="4" t="inlineStr">
        <is>
          <t>44</t>
        </is>
      </c>
      <c r="E137" s="5" t="inlineStr">
        <is>
          <t>17.500,00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=HYPERLINK("https://www.leilaoonline.net/lote/detalhe/153130", "3642")</f>
      </c>
      <c r="B138" s="4" t="s">
        <f>=HYPERLINK("https://www.leilaoonline.net/lote/detalhe/153130", " Sulcador. - FR.20120. - LOC. SANTA CANDIDA/SP")</f>
      </c>
      <c r="C138" s="4" t="inlineStr">
        <is>
          <t>Vendido</t>
        </is>
      </c>
      <c r="D138" s="4" t="inlineStr">
        <is>
          <t>17</t>
        </is>
      </c>
      <c r="E138" s="5" t="inlineStr">
        <is>
          <t>7.500,00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=HYPERLINK("https://www.leilaoonline.net/lote/detalhe/153135", "3643")</f>
      </c>
      <c r="B139" s="4" t="s">
        <f>=HYPERLINK("https://www.leilaoonline.net/lote/detalhe/153135", " Caminhão VW 15.180 EURO3 WORKER. CARROCERIA COMBOIO, ANO 2010/2010, BRANCO. - FR.119911/121795. - LOC. SANTA CANDIDA/SP ( falta motor/Câmbio/outros)")</f>
      </c>
      <c r="C139" s="4" t="inlineStr">
        <is>
          <t>Não vendido</t>
        </is>
      </c>
      <c r="D139" s="4" t="inlineStr">
        <is>
          <t>25</t>
        </is>
      </c>
      <c r="E139" s="5" t="inlineStr">
        <is>
          <t>44.000,00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=HYPERLINK("https://www.leilaoonline.net/lote/detalhe/153136", "3644")</f>
      </c>
      <c r="B140" s="4" t="s">
        <f>=HYPERLINK("https://www.leilaoonline.net/lote/detalhe/153136", " Caminhão VW 15.180 EURO3 WORKER, CARROCERIA COMBOIO, ANO 2011/2012, BRANCO. - FR.360445. - LOC. SANTA CANDIDA/SP")</f>
      </c>
      <c r="C140" s="4" t="inlineStr">
        <is>
          <t>Não vendido</t>
        </is>
      </c>
      <c r="D140" s="4" t="inlineStr">
        <is>
          <t>141</t>
        </is>
      </c>
      <c r="E140" s="5" t="inlineStr">
        <is>
          <t>188.000,00</t>
        </is>
      </c>
      <c r="F140" s="4" t="inlineStr">
        <is>
          <t>2000.00</t>
        </is>
      </c>
    </row>
    <row collapsed="false" customFormat="false" customHeight="false" hidden="false" ht="12.1" outlineLevel="0" r="141">
      <c r="A141" s="5" t="s">
        <f>=HYPERLINK("https://www.leilaoonline.net/lote/detalhe/153141", "3646")</f>
      </c>
      <c r="B141" s="4" t="s">
        <f>=HYPERLINK("https://www.leilaoonline.net/lote/detalhe/153141", " Transbordo Santal 12 T, ANO 2015. - FR.17318. - LOC. SANTA CANDIDA/SP")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=HYPERLINK("https://www.leilaoonline.net/lote/detalhe/153139", "3647")</f>
      </c>
      <c r="B142" s="4" t="s">
        <f>=HYPERLINK("https://www.leilaoonline.net/lote/detalhe/153139", " Transbordo Santal 12 T, ANO 2015. - FR.17333. - LOC. SANTA CANDIDA/SP")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=HYPERLINK("https://www.leilaoonline.net/lote/detalhe/153140", "3648")</f>
      </c>
      <c r="B143" s="4" t="s">
        <f>=HYPERLINK("https://www.leilaoonline.net/lote/detalhe/153140", " Transbordo Santal 12 T, ANO 2015. - FR.17304. - LOC. SANTA CANDIDA/SP")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=HYPERLINK("https://www.leilaoonline.net/lote/detalhe/153144", "3649")</f>
      </c>
      <c r="B144" s="4" t="s">
        <f>=HYPERLINK("https://www.leilaoonline.net/lote/detalhe/153144", " Transbordo Santal 12 T, ANO 2015. - FR.17344. - LOC. SANTA CANDIDA/SP")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=HYPERLINK("https://www.leilaoonline.net/lote/detalhe/153137", "3650")</f>
      </c>
      <c r="B145" s="4" t="s">
        <f>=HYPERLINK("https://www.leilaoonline.net/lote/detalhe/153137", " 1 Motor c/ Bomba e Painel. - FR.241465. - LOC. SANTA CANDIDA/SP ")</f>
      </c>
      <c r="C145" s="4" t="inlineStr">
        <is>
          <t>Não vendido</t>
        </is>
      </c>
      <c r="D145" s="4" t="inlineStr">
        <is>
          <t>49</t>
        </is>
      </c>
      <c r="E145" s="5" t="inlineStr">
        <is>
          <t>17.500,00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=HYPERLINK("https://www.leilaoonline.net/lote/detalhe/153145", "3651")</f>
      </c>
      <c r="B146" s="4" t="s">
        <f>=HYPERLINK("https://www.leilaoonline.net/lote/detalhe/153145", " Moto Bomba MWM D229/6, ANO 2006. - FR.19977. - LOC. SANTA CANDIDA/SP")</f>
      </c>
      <c r="C146" s="4" t="inlineStr">
        <is>
          <t>Vendido</t>
        </is>
      </c>
      <c r="D146" s="4" t="inlineStr">
        <is>
          <t>56</t>
        </is>
      </c>
      <c r="E146" s="5" t="inlineStr">
        <is>
          <t>24.000,00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=HYPERLINK("https://www.leilaoonline.net/lote/detalhe/153142", "3652")</f>
      </c>
      <c r="B147" s="4" t="s">
        <f>=HYPERLINK("https://www.leilaoonline.net/lote/detalhe/153142", " APROX. 30 EQUIPAMENTOS DIVERSOS, VEJA DESCRITIVO DE ITENS. - LOC. SANTA CANDIDA/SP")</f>
      </c>
      <c r="C147" s="4" t="inlineStr">
        <is>
          <t>Vendido</t>
        </is>
      </c>
      <c r="D147" s="4" t="inlineStr">
        <is>
          <t>12</t>
        </is>
      </c>
      <c r="E147" s="5" t="inlineStr">
        <is>
          <t>8.000,00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=HYPERLINK("https://www.leilaoonline.net/lote/detalhe/153147", "3654")</f>
      </c>
      <c r="B148" s="4" t="s">
        <f>=HYPERLINK("https://www.leilaoonline.net/lote/detalhe/153147", " COLHEDORA J. Deere 3522 2L, ANO 2012. - FR.128523. - LOC. PARAÍSO/SP")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=HYPERLINK("https://www.leilaoonline.net/lote/detalhe/153150", "3655")</f>
      </c>
      <c r="B149" s="4" t="s">
        <f>=HYPERLINK("https://www.leilaoonline.net/lote/detalhe/153150", "Reboque /FNV - FRUEHAUF RPB, ANO 1991/1991, BRANCO;  C/Motor e Carretel. - FR.19800/19986. ( SINISTRADO/RECUPERADO, SEM NUMERAÇÃO DE CHASSI ,REGULARIZAÇÃO PELO COMPRADOR) )  - LOC. PARAÍSO/SP ")</f>
      </c>
      <c r="C149" s="4" t="inlineStr">
        <is>
          <t>Não vendido</t>
        </is>
      </c>
      <c r="D149" s="4" t="inlineStr">
        <is>
          <t>8</t>
        </is>
      </c>
      <c r="E149" s="5" t="inlineStr">
        <is>
          <t>17.000,00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=HYPERLINK("https://www.leilaoonline.net/lote/detalhe/153146", "3656")</f>
      </c>
      <c r="B150" s="4" t="s">
        <f>=HYPERLINK("https://www.leilaoonline.net/lote/detalhe/153146", " Reboque Randon RQ CA 8,20 M, ANO 2005/2005. BRANCA - FR.19205. - LOC. PARAÍSO/SP")</f>
      </c>
      <c r="C150" s="4" t="inlineStr">
        <is>
          <t>Não vendido</t>
        </is>
      </c>
      <c r="D150" s="4" t="inlineStr">
        <is>
          <t>6</t>
        </is>
      </c>
      <c r="E150" s="5" t="inlineStr">
        <is>
          <t>16.000,00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=HYPERLINK("https://www.leilaoonline.net/lote/detalhe/153149", "3657")</f>
      </c>
      <c r="B151" s="4" t="s">
        <f>=HYPERLINK("https://www.leilaoonline.net/lote/detalhe/153149", " Dolly Facchini  Venda S/Doc. ANO 1995. - FR.121902. - LOC. PARAÍSO/SP")</f>
      </c>
      <c r="C151" s="4" t="inlineStr">
        <is>
          <t>Vendido</t>
        </is>
      </c>
      <c r="D151" s="4" t="inlineStr">
        <is>
          <t>6</t>
        </is>
      </c>
      <c r="E151" s="5" t="inlineStr">
        <is>
          <t>6.500,00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=HYPERLINK("https://www.leilaoonline.net/lote/detalhe/153151", "3658")</f>
      </c>
      <c r="B152" s="4" t="s">
        <f>=HYPERLINK("https://www.leilaoonline.net/lote/detalhe/153151", " Cultivador 2L Carderroli, 4 Pneus, ANO 2015. - FR.48166. - LOC. PARAÍSO/SP")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2.000,00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=HYPERLINK("https://www.leilaoonline.net/lote/detalhe/153156", "3659")</f>
      </c>
      <c r="B153" s="4" t="s">
        <f>=HYPERLINK("https://www.leilaoonline.net/lote/detalhe/153156", " 6 FILTRO/TANQUES PLASTICO/FIBRA. - S/FR. - LOC. PARAÍSO/SP")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3.500,00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=HYPERLINK("https://www.leilaoonline.net/lote/detalhe/153148", "3660")</f>
      </c>
      <c r="B154" s="4" t="s">
        <f>=HYPERLINK("https://www.leilaoonline.net/lote/detalhe/153148", " Carreta Trans.Tubos. - S/FR. - LOC. PARAÍSO/SP")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=HYPERLINK("https://www.leilaoonline.net/lote/detalhe/153154", "3661")</f>
      </c>
      <c r="B155" s="4" t="s">
        <f>=HYPERLINK("https://www.leilaoonline.net/lote/detalhe/153154", " LIVROS DIDATICO. - S/FR. - LOC. PARAÍSO/SP")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=HYPERLINK("https://www.leilaoonline.net/lote/detalhe/153153", "3662")</f>
      </c>
      <c r="B156" s="4" t="s">
        <f>=HYPERLINK("https://www.leilaoonline.net/lote/detalhe/153153", " APROX. 111 EQUIPAMENTOS DIVERSOS, VEJA DESCRITIVO DE ITENS. - LOC. BARRA/SP")</f>
      </c>
      <c r="C156" s="4" t="inlineStr">
        <is>
          <t>Vendido</t>
        </is>
      </c>
      <c r="D156" s="4" t="inlineStr">
        <is>
          <t>22</t>
        </is>
      </c>
      <c r="E156" s="5" t="inlineStr">
        <is>
          <t>8.250,00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=HYPERLINK("https://www.leilaoonline.net/lote/detalhe/153143", "3663")</f>
      </c>
      <c r="B157" s="4" t="s">
        <f>=HYPERLINK("https://www.leilaoonline.net/lote/detalhe/153143", " APROX. 79 EQUIPAMENTOS DIVERSOS, VEJA DESCRITIVO DE ITENS. - LOC. BARRA/SP")</f>
      </c>
      <c r="C157" s="4" t="inlineStr">
        <is>
          <t>Vendido</t>
        </is>
      </c>
      <c r="D157" s="4" t="inlineStr">
        <is>
          <t>7</t>
        </is>
      </c>
      <c r="E157" s="5" t="inlineStr">
        <is>
          <t>4.500,00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=HYPERLINK("https://www.leilaoonline.net/lote/detalhe/153157", "3664")</f>
      </c>
      <c r="B158" s="4" t="s">
        <f>=HYPERLINK("https://www.leilaoonline.net/lote/detalhe/153157", " Reboque Rodoviaria 7,60M, ANO 1987/1987, AZUL;  C/Motor e Carretel. - FR.95568/102412. - LOC. BARRA/SP")</f>
      </c>
      <c r="C158" s="4" t="inlineStr">
        <is>
          <t>Vendido</t>
        </is>
      </c>
      <c r="D158" s="4" t="inlineStr">
        <is>
          <t>7</t>
        </is>
      </c>
      <c r="E158" s="5" t="inlineStr">
        <is>
          <t>16.000,00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=HYPERLINK("https://www.leilaoonline.net/lote/detalhe/153155", "3665")</f>
      </c>
      <c r="B159" s="4" t="s">
        <f>=HYPERLINK("https://www.leilaoonline.net/lote/detalhe/153155", " Reboque LENCOIS RRTC, ANO 1995/1995, AZUL;  C/Motor e Carretel. - FR.70515/102417. - LOC. BARRA/SP")</f>
      </c>
      <c r="C159" s="4" t="inlineStr">
        <is>
          <t>Vendido</t>
        </is>
      </c>
      <c r="D159" s="4" t="inlineStr">
        <is>
          <t>5</t>
        </is>
      </c>
      <c r="E159" s="5" t="inlineStr">
        <is>
          <t>12.500,00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=HYPERLINK("https://www.leilaoonline.net/lote/detalhe/153152", "3666")</f>
      </c>
      <c r="B160" s="4" t="s">
        <f>=HYPERLINK("https://www.leilaoonline.net/lote/detalhe/153152", " Caminhão VW  7-110S Toco, carroceria Baú, ANO 1998/1998, BRANCO. - FR.96314.  VENDA SEM MOTOR , Nº MOTOR FORA DO PADRÃO, CARROCERIA DIVERGENTE (NO DOCUMENTO CONSTA ABERTA), REGULARIZAÇÃO POR CONTA DO COMPRADOR) - LOC. BARRA/SP")</f>
      </c>
      <c r="C160" s="4" t="inlineStr">
        <is>
          <t>Não vendido</t>
        </is>
      </c>
      <c r="D160" s="4" t="inlineStr">
        <is>
          <t>14</t>
        </is>
      </c>
      <c r="E160" s="5" t="inlineStr">
        <is>
          <t>33.000,00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=HYPERLINK("https://www.leilaoonline.net/lote/detalhe/153162", "3667")</f>
      </c>
      <c r="B161" s="4" t="s">
        <f>=HYPERLINK("https://www.leilaoonline.net/lote/detalhe/153162", " 1 Cabina de colhedora e 2 Capota. - S/FR. - LOC. BARRA/SP")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=HYPERLINK("https://www.leilaoonline.net/lote/detalhe/153161", "3668")</f>
      </c>
      <c r="B162" s="4" t="s">
        <f>=HYPERLINK("https://www.leilaoonline.net/lote/detalhe/153161", " 1 Motor diesel ref.300580. - S/FR. - LOC. BARRA/SP")</f>
      </c>
      <c r="C162" s="4" t="inlineStr">
        <is>
          <t>Vendido</t>
        </is>
      </c>
      <c r="D162" s="4" t="inlineStr">
        <is>
          <t>36</t>
        </is>
      </c>
      <c r="E162" s="5" t="inlineStr">
        <is>
          <t>10.750,00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=HYPERLINK("https://www.leilaoonline.net/lote/detalhe/153164", "3669")</f>
      </c>
      <c r="B163" s="4" t="s">
        <f>=HYPERLINK("https://www.leilaoonline.net/lote/detalhe/153164", " COLHEDORA J. Deere 3522 2L , ANO 2010, BRANCO. - FR.101466. - LOC. BARRA/SP")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=HYPERLINK("https://www.leilaoonline.net/lote/detalhe/153160", "3670")</f>
      </c>
      <c r="B164" s="4" t="s">
        <f>=HYPERLINK("https://www.leilaoonline.net/lote/detalhe/153160", " Reboque Rodoviaria 7,60M, ANO 1984/1984, AZUL. - FR.96552. - LOC. BARRA/SP")</f>
      </c>
      <c r="C164" s="4" t="inlineStr">
        <is>
          <t>Não vendido</t>
        </is>
      </c>
      <c r="D164" s="4" t="inlineStr">
        <is>
          <t>3</t>
        </is>
      </c>
      <c r="E164" s="5" t="inlineStr">
        <is>
          <t>11.000,00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=HYPERLINK("https://www.leilaoonline.net/lote/detalhe/153158", "3671")</f>
      </c>
      <c r="B165" s="4" t="s">
        <f>=HYPERLINK("https://www.leilaoonline.net/lote/detalhe/153158", " Carretinha SC 200 Saci FR.103962, ANO 2015; 6 Pneus e 2 Tanques plastico. - LOC. BARRA/SP")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=HYPERLINK("https://www.leilaoonline.net/lote/detalhe/153163", "3672")</f>
      </c>
      <c r="B166" s="4" t="s">
        <f>=HYPERLINK("https://www.leilaoonline.net/lote/detalhe/153163", " Caminhão VW 26.220 EURO3 WORKER; ANO 2007/2008, BRANCO, C/ Carroceria Transbordo Sermag 6 T. - FR.360138/361848. - LOC. BARRA/SP")</f>
      </c>
      <c r="C166" s="4" t="inlineStr">
        <is>
          <t>Não vendido</t>
        </is>
      </c>
      <c r="D166" s="4" t="inlineStr">
        <is>
          <t>98</t>
        </is>
      </c>
      <c r="E166" s="5" t="inlineStr">
        <is>
          <t>137.000,00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=HYPERLINK("https://www.leilaoonline.net/lote/detalhe/153170", "3673")</f>
      </c>
      <c r="B167" s="4" t="s">
        <f>=HYPERLINK("https://www.leilaoonline.net/lote/detalhe/153170", " CARRETA ABRIGO  OPERANDO, ANO 2010. - FR.103989. - LOC. BARRA/SP")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3.000,00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=HYPERLINK("https://www.leilaoonline.net/lote/detalhe/153167", "3674")</f>
      </c>
      <c r="B168" s="4" t="s">
        <f>=HYPERLINK("https://www.leilaoonline.net/lote/detalhe/153167", " 1 Cultivador, 9 Pistões e 2 Tanque Plastico. - FR.74029. - LOC. BARRA/SP")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2.000,00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=HYPERLINK("https://www.leilaoonline.net/lote/detalhe/153199", "3675")</f>
      </c>
      <c r="B169" s="4" t="s">
        <f>=HYPERLINK("https://www.leilaoonline.net/lote/detalhe/153199", " Fitilho 100 Rolos Aprox. - S/FR. - LOC. BARRA/SP")</f>
      </c>
      <c r="C169" s="4" t="inlineStr">
        <is>
          <t>Vendido</t>
        </is>
      </c>
      <c r="D169" s="4" t="inlineStr">
        <is>
          <t>24</t>
        </is>
      </c>
      <c r="E169" s="5" t="inlineStr">
        <is>
          <t>7.750,00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=HYPERLINK("https://www.leilaoonline.net/lote/detalhe/153197", "3676")</f>
      </c>
      <c r="B170" s="4" t="s">
        <f>=HYPERLINK("https://www.leilaoonline.net/lote/detalhe/153197", " 1 Tanque de fibra Aprox. 30.000 Lts. - S/FR. - LOC. BARRA/SP")</f>
      </c>
      <c r="C170" s="4" t="inlineStr">
        <is>
          <t>Vendido</t>
        </is>
      </c>
      <c r="D170" s="4" t="inlineStr">
        <is>
          <t>56</t>
        </is>
      </c>
      <c r="E170" s="5" t="inlineStr">
        <is>
          <t>25.000,00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=HYPERLINK("https://www.leilaoonline.net/lote/detalhe/153159", "3677")</f>
      </c>
      <c r="B171" s="4" t="s">
        <f>=HYPERLINK("https://www.leilaoonline.net/lote/detalhe/153159", " 1 Tanque de fibra Aprox. 30.000 Lts. - S/FR. - LOC. BARRA/SP")</f>
      </c>
      <c r="C171" s="4" t="inlineStr">
        <is>
          <t>Vendido</t>
        </is>
      </c>
      <c r="D171" s="4" t="inlineStr">
        <is>
          <t>38</t>
        </is>
      </c>
      <c r="E171" s="5" t="inlineStr">
        <is>
          <t>15.500,00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=HYPERLINK("https://www.leilaoonline.net/lote/detalhe/153179", "3678")</f>
      </c>
      <c r="B172" s="4" t="s">
        <f>=HYPERLINK("https://www.leilaoonline.net/lote/detalhe/153179", " 7 Valvulas cor azul. - S/FR. - LOC. BARRA/SP")</f>
      </c>
      <c r="C172" s="4" t="inlineStr">
        <is>
          <t>Vendido</t>
        </is>
      </c>
      <c r="D172" s="4" t="inlineStr">
        <is>
          <t>12</t>
        </is>
      </c>
      <c r="E172" s="5" t="inlineStr">
        <is>
          <t>4.750,00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=HYPERLINK("https://www.leilaoonline.net/lote/detalhe/153189", "3679")</f>
      </c>
      <c r="B173" s="4" t="s">
        <f>=HYPERLINK("https://www.leilaoonline.net/lote/detalhe/153189", " 1 Compressor Atlas, 2 Maq. Solda, 60 Refletores Aprox. e 2 CompressorES. - S/FR. - LOC. BARRA/SP")</f>
      </c>
      <c r="C173" s="4" t="inlineStr">
        <is>
          <t>Não vendido</t>
        </is>
      </c>
      <c r="D173" s="4" t="inlineStr">
        <is>
          <t>13</t>
        </is>
      </c>
      <c r="E173" s="5" t="inlineStr">
        <is>
          <t>6.500,00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=HYPERLINK("https://www.leilaoonline.net/lote/detalhe/153200", "3680")</f>
      </c>
      <c r="B174" s="4" t="s">
        <f>=HYPERLINK("https://www.leilaoonline.net/lote/detalhe/153200", " 2 Dutos Med. Aprox. 1,50 x 6,00. - S/FR. - LOC. BARRA/SP")</f>
      </c>
      <c r="C174" s="4" t="inlineStr">
        <is>
          <t>Vendido</t>
        </is>
      </c>
      <c r="D174" s="4" t="inlineStr">
        <is>
          <t>3</t>
        </is>
      </c>
      <c r="E174" s="5" t="inlineStr">
        <is>
          <t>4.000,00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=HYPERLINK("https://www.leilaoonline.net/lote/detalhe/153180", "3681")</f>
      </c>
      <c r="B175" s="4" t="s">
        <f>=HYPERLINK("https://www.leilaoonline.net/lote/detalhe/153180", " 2 Tanques inox. - S/FR. - LOC. BARRA/SP")</f>
      </c>
      <c r="C175" s="4" t="inlineStr">
        <is>
          <t>Vendido</t>
        </is>
      </c>
      <c r="D175" s="4" t="inlineStr">
        <is>
          <t>26</t>
        </is>
      </c>
      <c r="E175" s="5" t="inlineStr">
        <is>
          <t>9.750,00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=HYPERLINK("https://www.leilaoonline.net/lote/detalhe/153176", "3682")</f>
      </c>
      <c r="B176" s="4" t="s">
        <f>=HYPERLINK("https://www.leilaoonline.net/lote/detalhe/153176", " Elevador veículo. - FR.201689. - LOC. BARRA/SP")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=HYPERLINK("https://www.leilaoonline.net/lote/detalhe/153175", "3683")</f>
      </c>
      <c r="B177" s="4" t="s">
        <f>=HYPERLINK("https://www.leilaoonline.net/lote/detalhe/153175", " Venda por kilo - 5 TONELADA DE TUBO EVAPORAÇÃO. - S/FR. - LOC. PARAÍSO/SP")</f>
      </c>
      <c r="C177" s="4" t="inlineStr">
        <is>
          <t>Vendido</t>
        </is>
      </c>
      <c r="D177" s="4" t="inlineStr">
        <is>
          <t>13</t>
        </is>
      </c>
      <c r="E177" s="5" t="inlineStr">
        <is>
          <t>15.000,00</t>
        </is>
      </c>
      <c r="F177" s="4" t="inlineStr">
        <is>
          <t>0.10</t>
        </is>
      </c>
    </row>
    <row collapsed="false" customFormat="false" customHeight="false" hidden="false" ht="12.1" outlineLevel="0" r="178">
      <c r="A178" s="5" t="s">
        <f>=HYPERLINK("https://www.leilaoonline.net/lote/detalhe/155374", "3705")</f>
      </c>
      <c r="B178" s="4" t="s">
        <f>=HYPERLINK("https://www.leilaoonline.net/lote/detalhe/155374", "412 ITENS DE INFORMATICA, ( SENDO 71 NOTEBOOK, 238 DESKTOP, 62 MONITORES, 38 IMPRESSORAS, 2 LEITOR DE DVD, 1 SWITCH)  SUCATEADOS, COM PÇAS DANIFICADAS, S/ HDs/ MEMÓRIA , OBS: VEJA ABAIXO INFORMAÇÕES DE NOTA , LOC. UNIDADE BARRA ")</f>
      </c>
      <c r="C178" s="4" t="inlineStr">
        <is>
          <t>Não vendido</t>
        </is>
      </c>
      <c r="D178" s="4" t="inlineStr">
        <is>
          <t>73</t>
        </is>
      </c>
      <c r="E178" s="5" t="inlineStr">
        <is>
          <t>37.000,00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=HYPERLINK("https://www.leilaoonline.net/lote/detalhe/156536", "3707")</f>
      </c>
      <c r="B179" s="4" t="s">
        <f>=HYPERLINK("https://www.leilaoonline.net/lote/detalhe/156536", "ENGRENAGEM PINHÃO D-RET MOE, 37X78, S/FR. LOC. DIAMANTE ")</f>
      </c>
      <c r="C179" s="4" t="inlineStr">
        <is>
          <t>Não vendido</t>
        </is>
      </c>
      <c r="D179" s="4" t="inlineStr">
        <is>
          <t>9</t>
        </is>
      </c>
      <c r="E179" s="5" t="inlineStr">
        <is>
          <t>3.500,00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=HYPERLINK("https://www.leilaoonline.net/lote/detalhe/156911", "3708")</f>
      </c>
      <c r="B180" s="4" t="s">
        <f>=HYPERLINK("https://www.leilaoonline.net/lote/detalhe/156911", "LOTE DE SUCATA ELETRICA/ELETRONICA, ( VENDA SEM A CAÇAMBA)  LOC. DIAMANTE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=HYPERLINK("https://www.leilaoonline.net/lote/detalhe/153557", "3710")</f>
      </c>
      <c r="B181" s="4" t="s">
        <f>=HYPERLINK("https://www.leilaoonline.net/lote/detalhe/153557", "LOTE DE SUCATA DE MOVEIS E UTENSILIOS EM GERAL, ( VEJA DESCRITIVO DE ITENS )  LOC. UNIDADE DIAMANTE")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=HYPERLINK("https://www.leilaoonline.net/lote/detalhe/153558", "3711")</f>
      </c>
      <c r="B182" s="4" t="s">
        <f>=HYPERLINK("https://www.leilaoonline.net/lote/detalhe/153558", "01 ARMARIO MADEIRA, S/PATR, 01 GAVETEIRO AÇO PATR. 043103, 01 FOGÃO 6 BOCAS PATR. 015781, LOC. FUNDAÇÃO IGARAÇU DO TIETE")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1.000,00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=HYPERLINK("https://www.leilaoonline.net/lote/detalhe/153559", "3712")</f>
      </c>
      <c r="B183" s="4" t="s">
        <f>=HYPERLINK("https://www.leilaoonline.net/lote/detalhe/153559", "LOTE DE EQUIP. DE INFORMATICA, CONTENDO 139 ITENS, FALTANDO HD E MEMORIA/PEÇAS, LOC. DIAMANTE ")</f>
      </c>
      <c r="C183" s="4" t="inlineStr">
        <is>
          <t>Vendido</t>
        </is>
      </c>
      <c r="D183" s="4" t="inlineStr">
        <is>
          <t>59</t>
        </is>
      </c>
      <c r="E183" s="5" t="inlineStr">
        <is>
          <t>18.650,00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=HYPERLINK("https://www.leilaoonline.net/lote/detalhe/155354", "3713")</f>
      </c>
      <c r="B184" s="4" t="s">
        <f>=HYPERLINK("https://www.leilaoonline.net/lote/detalhe/155354", "TANQUE DE FIBRA DE APROX. 25 MIL LTS. FR166575 , LOC. DIAMANTE")</f>
      </c>
      <c r="C184" s="4" t="inlineStr">
        <is>
          <t>Não vendido</t>
        </is>
      </c>
      <c r="D184" s="4" t="inlineStr">
        <is>
          <t>64</t>
        </is>
      </c>
      <c r="E184" s="5" t="inlineStr">
        <is>
          <t>31.500,00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=HYPERLINK("https://www.leilaoonline.net/lote/detalhe/155355", "3714")</f>
      </c>
      <c r="B185" s="4" t="s">
        <f>=HYPERLINK("https://www.leilaoonline.net/lote/detalhe/155355", "LOTE DE SUCATA DE INFORMATICA CONTENDO 183 ITENS ( 26 Notebook , 67 Desktop, 6 IMPRESSORA,  41 Monitor, 14 Nobreak , 8 PROJETOR, 21 Switch /Thin Client)  , LOC. PARAISO - BROTAS")</f>
      </c>
      <c r="C185" s="4" t="inlineStr">
        <is>
          <t>Não vendido</t>
        </is>
      </c>
      <c r="D185" s="4" t="inlineStr">
        <is>
          <t>34</t>
        </is>
      </c>
      <c r="E185" s="5" t="inlineStr">
        <is>
          <t>9.250,00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=HYPERLINK("https://www.leilaoonline.net/lote/detalhe/156644", "3715")</f>
      </c>
      <c r="B186" s="4" t="s">
        <f>=HYPERLINK("https://www.leilaoonline.net/lote/detalhe/156644", "LOTE DE 13 PNEUS DIVERSOS, VEJA ABAIXO AS ESPECIFICAÇÕES - LOC. PARAISO ")</f>
      </c>
      <c r="C186" s="4" t="inlineStr">
        <is>
          <t>Vendido</t>
        </is>
      </c>
      <c r="D186" s="4" t="inlineStr">
        <is>
          <t>52</t>
        </is>
      </c>
      <c r="E186" s="5" t="inlineStr">
        <is>
          <t>23.500,00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=HYPERLINK("https://www.leilaoonline.net/lote/detalhe/153196", "4130")</f>
      </c>
      <c r="B187" s="4" t="s">
        <f>=HYPERLINK("https://www.leilaoonline.net/lote/detalhe/153196", " Transbordo Santal 12 T, ANO 2008. - FR.38327. - LOC. PARAÍSO/SP")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10.000,00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=HYPERLINK("https://www.leilaoonline.net/lote/detalhe/153201", "4131")</f>
      </c>
      <c r="B188" s="4" t="s">
        <f>=HYPERLINK("https://www.leilaoonline.net/lote/detalhe/153201", " Transbordo Santal 12 T, ANO 2008. - FR.101955. - LOC. PARAÍSO/SP")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10.000,00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=HYPERLINK("https://www.leilaoonline.net/lote/detalhe/153293", "11378")</f>
      </c>
      <c r="B189" s="4" t="s">
        <f>=HYPERLINK("https://www.leilaoonline.net/lote/detalhe/153293", " TRANSBORDO SANTAL 12 T, ANO 2010, FR1403, LOC. ARARAQUARA")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=HYPERLINK("https://www.leilaoonline.net/lote/detalhe/153234", "11390")</f>
      </c>
      <c r="B190" s="4" t="s">
        <f>=HYPERLINK("https://www.leilaoonline.net/lote/detalhe/153234", " TRANSBORDO SMR 10500 10 T, ANO 2007, FR10112, LOC. ARARAQUARA")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=HYPERLINK("https://www.leilaoonline.net/lote/detalhe/153301", "11395")</f>
      </c>
      <c r="B191" s="4" t="s">
        <f>=HYPERLINK("https://www.leilaoonline.net/lote/detalhe/153301", " TRANSBORDO SMR 10500 10 T, ANO 2008, FR10124, LOC. SERRA")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10.000,00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=HYPERLINK("https://www.leilaoonline.net/lote/detalhe/153276", "11414")</f>
      </c>
      <c r="B192" s="4" t="s">
        <f>=HYPERLINK("https://www.leilaoonline.net/lote/detalhe/153276", " COLHEDORA JOHN DEERE 3510, ANO 2008, FR107494, LOC. SERRA")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=HYPERLINK("https://www.leilaoonline.net/lote/detalhe/157071", "11522")</f>
      </c>
      <c r="B193" s="4" t="s">
        <f>=HYPERLINK("https://www.leilaoonline.net/lote/detalhe/157071", "TABLET X 7 (70 UNDs APROXIMADA), S/FR,  LOC. BONFIM 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1.500,00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=HYPERLINK("https://www.leilaoonline.net/lote/detalhe/157072", "11523")</f>
      </c>
      <c r="B194" s="4" t="s">
        <f>=HYPERLINK("https://www.leilaoonline.net/lote/detalhe/157072", "COMPUTADOR MAG 300 (54 UNDs APROXIMADA), S/FR, LOC. BONFIM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5.000,00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=HYPERLINK("https://www.leilaoonline.net/lote/detalhe/157074", "11543")</f>
      </c>
      <c r="B195" s="4" t="s">
        <f>=HYPERLINK("https://www.leilaoonline.net/lote/detalhe/157074", "6 CENTRIFUCAS AÇUCAR COMPLETA, 1 MOTOR RESERVA E 2 PAINEIS, S/ FR, LOC. ZANIN")</f>
      </c>
      <c r="C195" s="4" t="inlineStr">
        <is>
          <t>Não vendido</t>
        </is>
      </c>
      <c r="D195" s="4" t="inlineStr">
        <is>
          <t>35</t>
        </is>
      </c>
      <c r="E195" s="5" t="inlineStr">
        <is>
          <t>26.000,00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=HYPERLINK("https://www.leilaoonline.net/lote/detalhe/157075", "11544")</f>
      </c>
      <c r="B196" s="4" t="s">
        <f>=HYPERLINK("https://www.leilaoonline.net/lote/detalhe/157075", "4 AQUECEDORES, S/ FR, LOC. ZANIN")</f>
      </c>
      <c r="C196" s="4" t="inlineStr">
        <is>
          <t>Não vendido</t>
        </is>
      </c>
      <c r="D196" s="4" t="inlineStr">
        <is>
          <t>71</t>
        </is>
      </c>
      <c r="E196" s="5" t="inlineStr">
        <is>
          <t>48.000,00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=HYPERLINK("https://www.leilaoonline.net/lote/detalhe/157076", "11548")</f>
      </c>
      <c r="B197" s="4" t="s">
        <f>=HYPERLINK("https://www.leilaoonline.net/lote/detalhe/157076", "REBOQUE 4E RANDONSP RQ CA, ANO 2010/2011, AZUL, FR93655, LOC. ZANIN")</f>
      </c>
      <c r="C197" s="4" t="inlineStr">
        <is>
          <t>Não vendido</t>
        </is>
      </c>
      <c r="D197" s="4" t="inlineStr">
        <is>
          <t>2</t>
        </is>
      </c>
      <c r="E197" s="5" t="inlineStr">
        <is>
          <t>26.000,00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=HYPERLINK("https://www.leilaoonline.net/lote/detalhe/157077", "11553")</f>
      </c>
      <c r="B198" s="4" t="s">
        <f>=HYPERLINK("https://www.leilaoonline.net/lote/detalhe/157077", "S.REBOQUE USICAMP SRCP E2 10000, ANO 2009/2009, AZUL, FR36184, LOC. ZANIN")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25.000,00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=HYPERLINK("https://www.leilaoonline.net/lote/detalhe/157078", "11558")</f>
      </c>
      <c r="B199" s="4" t="s">
        <f>=HYPERLINK("https://www.leilaoonline.net/lote/detalhe/157078", "S. REBOQUE SERGOMEL SRSCPI 2E, ANO 2014/2014, CINZA, FR17234, LOC. ZANIN")</f>
      </c>
      <c r="C199" s="4" t="inlineStr">
        <is>
          <t>Vendido</t>
        </is>
      </c>
      <c r="D199" s="4" t="inlineStr">
        <is>
          <t>23</t>
        </is>
      </c>
      <c r="E199" s="5" t="inlineStr">
        <is>
          <t>47.000,00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=HYPERLINK("https://www.leilaoonline.net/lote/detalhe/157079", "11561")</f>
      </c>
      <c r="B200" s="4" t="s">
        <f>=HYPERLINK("https://www.leilaoonline.net/lote/detalhe/157079", "SEMI-REBOQUE RANDON SP SRCA CA, ANO 2012/2013, CINZA. - FR93674 - LOC.ZANIN ")</f>
      </c>
      <c r="C200" s="4" t="inlineStr">
        <is>
          <t>Não vendido</t>
        </is>
      </c>
      <c r="D200" s="4" t="inlineStr">
        <is>
          <t>28</t>
        </is>
      </c>
      <c r="E200" s="5" t="inlineStr">
        <is>
          <t>52.000,00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=HYPERLINK("https://www.leilaoonline.net/lote/detalhe/157080", "11566")</f>
      </c>
      <c r="B201" s="4" t="s">
        <f>=HYPERLINK("https://www.leilaoonline.net/lote/detalhe/157080", "S. REBOQUE RODOFORT SA SRC 2E, ANO 2008/2008, AZUL , FR56298, LOC. ZANIN")</f>
      </c>
      <c r="C201" s="4" t="inlineStr">
        <is>
          <t>Vendido</t>
        </is>
      </c>
      <c r="D201" s="4" t="inlineStr">
        <is>
          <t>9</t>
        </is>
      </c>
      <c r="E201" s="5" t="inlineStr">
        <is>
          <t>33.000,00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=HYPERLINK("https://www.leilaoonline.net/lote/detalhe/157081", "11568")</f>
      </c>
      <c r="B202" s="4" t="s">
        <f>=HYPERLINK("https://www.leilaoonline.net/lote/detalhe/157081", "REBOQUE RANDON RQ CA, ANO 2012/2013, CINZA, FR361352, LOC. ZANIN")</f>
      </c>
      <c r="C202" s="4" t="inlineStr">
        <is>
          <t>Vendido</t>
        </is>
      </c>
      <c r="D202" s="4" t="inlineStr">
        <is>
          <t>27</t>
        </is>
      </c>
      <c r="E202" s="5" t="inlineStr">
        <is>
          <t>51.000,00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=HYPERLINK("https://www.leilaoonline.net/lote/detalhe/157082", "11569")</f>
      </c>
      <c r="B203" s="4" t="s">
        <f>=HYPERLINK("https://www.leilaoonline.net/lote/detalhe/157082", "REBOQUE RANDONSP RQ CA, ANO 2012/2013, CINZA , FR121567, LOC. ZANIN ")</f>
      </c>
      <c r="C203" s="4" t="inlineStr">
        <is>
          <t>Não vendido</t>
        </is>
      </c>
      <c r="D203" s="4" t="inlineStr">
        <is>
          <t>42</t>
        </is>
      </c>
      <c r="E203" s="5" t="inlineStr">
        <is>
          <t>66.000,00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=HYPERLINK("https://www.leilaoonline.net/lote/detalhe/157083", "11570")</f>
      </c>
      <c r="B204" s="4" t="s">
        <f>=HYPERLINK("https://www.leilaoonline.net/lote/detalhe/157083", "S.REBOQUE RANDON SP SRCA CA, ANO 2012/2013, CINZA , FR361337, LOC. ZANIN")</f>
      </c>
      <c r="C204" s="4" t="inlineStr">
        <is>
          <t>Não vendido</t>
        </is>
      </c>
      <c r="D204" s="4" t="inlineStr">
        <is>
          <t>21</t>
        </is>
      </c>
      <c r="E204" s="5" t="inlineStr">
        <is>
          <t>45.000,00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=HYPERLINK("https://www.leilaoonline.net/lote/detalhe/153213", "12000")</f>
      </c>
      <c r="B205" s="4" t="s">
        <f>=HYPERLINK("https://www.leilaoonline.net/lote/detalhe/153213", " CAMINHÃO VW. 15-190 WORKER, ANO 2014/2014, BRANCA, FR20027, LOC. JUNQUEIRA ")</f>
      </c>
      <c r="C205" s="4" t="inlineStr">
        <is>
          <t>Não vendido</t>
        </is>
      </c>
      <c r="D205" s="4" t="inlineStr">
        <is>
          <t>24</t>
        </is>
      </c>
      <c r="E205" s="5" t="inlineStr">
        <is>
          <t>58.000,00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=HYPERLINK("https://www.leilaoonline.net/lote/detalhe/153211", "12001")</f>
      </c>
      <c r="B206" s="4" t="s">
        <f>=HYPERLINK("https://www.leilaoonline.net/lote/detalhe/153211", " CARRETA ABRIGO FAB.PRÓPRIA, ANO 2006, FR92708, LOC. JUNQUEIRA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=HYPERLINK("https://www.leilaoonline.net/lote/detalhe/153217", "12002")</f>
      </c>
      <c r="B207" s="4" t="s">
        <f>=HYPERLINK("https://www.leilaoonline.net/lote/detalhe/153217", " CARRETA ABRIGO FAB.PRÓPRIA, ANO 2008, FR92736, LOC. JUNQUEIRA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=HYPERLINK("https://www.leilaoonline.net/lote/detalhe/153218", "12003")</f>
      </c>
      <c r="B208" s="4" t="s">
        <f>=HYPERLINK("https://www.leilaoonline.net/lote/detalhe/153218", " SULCADOR, ANO 2003, FR92620, LOC. JUNQUEIRA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=HYPERLINK("https://www.leilaoonline.net/lote/detalhe/153216", "12004")</f>
      </c>
      <c r="B209" s="4" t="s">
        <f>=HYPERLINK("https://www.leilaoonline.net/lote/detalhe/153216", " CULTIVADOR 2L CARDERROLI, ANO 2015, FR92885, LOC.JUNQUEIRA ")</f>
      </c>
      <c r="C209" s="4" t="inlineStr">
        <is>
          <t>Vendido</t>
        </is>
      </c>
      <c r="D209" s="4" t="inlineStr">
        <is>
          <t>1</t>
        </is>
      </c>
      <c r="E209" s="5" t="inlineStr">
        <is>
          <t>2.000,00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=HYPERLINK("https://www.leilaoonline.net/lote/detalhe/153222", "12005")</f>
      </c>
      <c r="B210" s="4" t="s">
        <f>=HYPERLINK("https://www.leilaoonline.net/lote/detalhe/153222", " IMPLEMENTOS, ANO 2013, FR92843, LOC. JUNQUEIRA ")</f>
      </c>
      <c r="C210" s="4" t="inlineStr">
        <is>
          <t>Vendido</t>
        </is>
      </c>
      <c r="D210" s="4" t="inlineStr">
        <is>
          <t>1</t>
        </is>
      </c>
      <c r="E210" s="5" t="inlineStr">
        <is>
          <t>2.000,00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=HYPERLINK("https://www.leilaoonline.net/lote/detalhe/153214", "12006")</f>
      </c>
      <c r="B211" s="4" t="s">
        <f>=HYPERLINK("https://www.leilaoonline.net/lote/detalhe/153214", " TRANSBORDO SANTAL 12 T, ANO 2013, FR93864, LOC. JUNQUEIRA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10.000,00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=HYPERLINK("https://www.leilaoonline.net/lote/detalhe/153221", "12007")</f>
      </c>
      <c r="B212" s="4" t="s">
        <f>=HYPERLINK("https://www.leilaoonline.net/lote/detalhe/153221", " TRANBORDO SMR 10500 10T, ANO 2008, FR10131, LOC. JUNQUEIRA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10.000,00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=HYPERLINK("https://www.leilaoonline.net/lote/detalhe/153212", "12008")</f>
      </c>
      <c r="B213" s="4" t="s">
        <f>=HYPERLINK("https://www.leilaoonline.net/lote/detalhe/153212", " TRANSBORDO SANTAL VT 10T, ANO 2009, FR10148, LOC.  JUNQUEIRA 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10.000,00</t>
        </is>
      </c>
      <c r="F213" s="4" t="inlineStr">
        <is>
          <t>500.00</t>
        </is>
      </c>
    </row>
    <row collapsed="false" customFormat="false" customHeight="false" hidden="false" ht="12.1" outlineLevel="0" r="214">
      <c r="A214" s="5" t="s">
        <f>=HYPERLINK("https://www.leilaoonline.net/lote/detalhe/153226", "12009")</f>
      </c>
      <c r="B214" s="4" t="s">
        <f>=HYPERLINK("https://www.leilaoonline.net/lote/detalhe/153226", " PULVERIZADOR CONDOR M12, ANO 2003, FR92596, LOC.  JUNQUEIRA  ")</f>
      </c>
      <c r="C214" s="4" t="inlineStr">
        <is>
          <t>Vendido</t>
        </is>
      </c>
      <c r="D214" s="4" t="inlineStr">
        <is>
          <t>7</t>
        </is>
      </c>
      <c r="E214" s="5" t="inlineStr">
        <is>
          <t>1.100,00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=HYPERLINK("https://www.leilaoonline.net/lote/detalhe/153219", "12010")</f>
      </c>
      <c r="B215" s="4" t="s">
        <f>=HYPERLINK("https://www.leilaoonline.net/lote/detalhe/153219", " REBOQUE 4E RANDON SP RQ CA 12,5M, ANO 2010/2010, AZUL, FR96769, LOC.JUNQUEIRA 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35.000,00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=HYPERLINK("https://www.leilaoonline.net/lote/detalhe/153215", "12011")</f>
      </c>
      <c r="B216" s="4" t="s">
        <f>=HYPERLINK("https://www.leilaoonline.net/lote/detalhe/153215", " TRANSBORDO ATA 12000 12T, ANO 2012, FR93867, LOC.JUNQUEIRA 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10.000,00</t>
        </is>
      </c>
      <c r="F216" s="4" t="inlineStr">
        <is>
          <t>500.00</t>
        </is>
      </c>
    </row>
    <row collapsed="false" customFormat="false" customHeight="false" hidden="false" ht="12.1" outlineLevel="0" r="217">
      <c r="A217" s="5" t="s">
        <f>=HYPERLINK("https://www.leilaoonline.net/lote/detalhe/153220", "12012")</f>
      </c>
      <c r="B217" s="4" t="s">
        <f>=HYPERLINK("https://www.leilaoonline.net/lote/detalhe/153220", " TRANSBORDO SMR 10500 10 T, ANO 2008, FR10128,  LOC.JUNQUEIRA 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10.000,00</t>
        </is>
      </c>
      <c r="F217" s="4" t="inlineStr">
        <is>
          <t>500.00</t>
        </is>
      </c>
    </row>
    <row collapsed="false" customFormat="false" customHeight="false" hidden="false" ht="12.1" outlineLevel="0" r="218">
      <c r="A218" s="5" t="s">
        <f>=HYPERLINK("https://www.leilaoonline.net/lote/detalhe/153230", "12013")</f>
      </c>
      <c r="B218" s="4" t="s">
        <f>=HYPERLINK("https://www.leilaoonline.net/lote/detalhe/153230", " TRANSBORDO SMR 10500 10 T, ANO 2008, FR10127,  LOC.JUNQUEIRA 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10.000,00</t>
        </is>
      </c>
      <c r="F218" s="4" t="inlineStr">
        <is>
          <t>500.00</t>
        </is>
      </c>
    </row>
    <row collapsed="false" customFormat="false" customHeight="false" hidden="false" ht="12.1" outlineLevel="0" r="219">
      <c r="A219" s="5" t="s">
        <f>=HYPERLINK("https://www.leilaoonline.net/lote/detalhe/153228", "12014")</f>
      </c>
      <c r="B219" s="4" t="s">
        <f>=HYPERLINK("https://www.leilaoonline.net/lote/detalhe/153228", " REBOQUE 4E RANDON SP RQ CA 12,5M, ANO 2010/2010, AZUL , FR93639, LOC. JUNQUEIRA 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35.000,00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=HYPERLINK("https://www.leilaoonline.net/lote/detalhe/153225", "12015")</f>
      </c>
      <c r="B220" s="4" t="s">
        <f>=HYPERLINK("https://www.leilaoonline.net/lote/detalhe/153225", " S.REBOQUE USICAMP 12,50 M, SRCP E2 10000, ANO 2008/2008,AZUL, FR96275, LOC. JUNQUEIRA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25.000,00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=HYPERLINK("https://www.leilaoonline.net/lote/detalhe/153229", "12016")</f>
      </c>
      <c r="B221" s="4" t="s">
        <f>=HYPERLINK("https://www.leilaoonline.net/lote/detalhe/153229", " S.REBOQUE USICAMP 12,50 M, SRCP E2 10000, ANO 2008/2008, AZUL , FR96284, LOC. JUNQUEIRA")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25.000,00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=HYPERLINK("https://www.leilaoonline.net/lote/detalhe/153223", "12017")</f>
      </c>
      <c r="B222" s="4" t="s">
        <f>=HYPERLINK("https://www.leilaoonline.net/lote/detalhe/153223", " REBOQUE 4E RANDON 12,5M, RQ CA, ANO 2010/2010, AZUL, FR96764, LOC JUNQUEIRA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35.000,00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=HYPERLINK("https://www.leilaoonline.net/lote/detalhe/153231", "12018")</f>
      </c>
      <c r="B223" s="4" t="s">
        <f>=HYPERLINK("https://www.leilaoonline.net/lote/detalhe/153231", " REBOQUE 4E FACCHINI RF TC 12,5M (QUEIMADA), ANO 2015/2015, CINZA, FR112669, LOC. JUNQUEIRA ")</f>
      </c>
      <c r="C223" s="4" t="inlineStr">
        <is>
          <t>Vendido</t>
        </is>
      </c>
      <c r="D223" s="4" t="inlineStr">
        <is>
          <t>9</t>
        </is>
      </c>
      <c r="E223" s="5" t="inlineStr">
        <is>
          <t>43.000,00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=HYPERLINK("https://www.leilaoonline.net/lote/detalhe/153224", "12019")</f>
      </c>
      <c r="B224" s="4" t="s">
        <f>=HYPERLINK("https://www.leilaoonline.net/lote/detalhe/153224", " PLANT.CANA TMA 2 LINHAS, ANO 2014, FR92867, LOC. JUNQUEIRA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10.000,00</t>
        </is>
      </c>
      <c r="F224" s="4" t="inlineStr">
        <is>
          <t>500.00</t>
        </is>
      </c>
    </row>
    <row collapsed="false" customFormat="false" customHeight="false" hidden="false" ht="12.1" outlineLevel="0" r="225">
      <c r="A225" s="5" t="s">
        <f>=HYPERLINK("https://www.leilaoonline.net/lote/detalhe/153240", "12020")</f>
      </c>
      <c r="B225" s="4" t="s">
        <f>=HYPERLINK("https://www.leilaoonline.net/lote/detalhe/153240", " CARRETA TANQUE 5000 LTS., ANO 2011, FR122329,LOC. JUNQUEIRA ")</f>
      </c>
      <c r="C225" s="4" t="inlineStr">
        <is>
          <t>Não vendido</t>
        </is>
      </c>
      <c r="D225" s="4" t="inlineStr">
        <is>
          <t>1</t>
        </is>
      </c>
      <c r="E225" s="5" t="inlineStr">
        <is>
          <t>2.500,00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=HYPERLINK("https://www.leilaoonline.net/lote/detalhe/153245", "12021")</f>
      </c>
      <c r="B226" s="4" t="s">
        <f>=HYPERLINK("https://www.leilaoonline.net/lote/detalhe/153245", " PLANT. CANA ATA PCP 1102, ANO 2012, FR92829, LOC. JUNQUEIRA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10.000,00</t>
        </is>
      </c>
      <c r="F226" s="4" t="inlineStr">
        <is>
          <t>500.00</t>
        </is>
      </c>
    </row>
    <row collapsed="false" customFormat="false" customHeight="false" hidden="false" ht="12.1" outlineLevel="0" r="227">
      <c r="A227" s="5" t="s">
        <f>=HYPERLINK("https://www.leilaoonline.net/lote/detalhe/153247", "12022")</f>
      </c>
      <c r="B227" s="4" t="s">
        <f>=HYPERLINK("https://www.leilaoonline.net/lote/detalhe/153247", " CARRETA DE PLANTIO, ANO 2013, FR92853, LOC. JUNQUEIRA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10.000,00</t>
        </is>
      </c>
      <c r="F227" s="4" t="inlineStr">
        <is>
          <t>500.00</t>
        </is>
      </c>
    </row>
    <row collapsed="false" customFormat="false" customHeight="false" hidden="false" ht="12.1" outlineLevel="0" r="228">
      <c r="A228" s="5" t="s">
        <f>=HYPERLINK("https://www.leilaoonline.net/lote/detalhe/153227", "12023")</f>
      </c>
      <c r="B228" s="4" t="s">
        <f>=HYPERLINK("https://www.leilaoonline.net/lote/detalhe/153227", " PLANT.CANA AUTOMÁTICA DMB, ANO 2010, FR92768, LOC. JUNQUEIRA")</f>
      </c>
      <c r="C228" s="4" t="inlineStr">
        <is>
          <t>Vendido</t>
        </is>
      </c>
      <c r="D228" s="4" t="inlineStr">
        <is>
          <t>1</t>
        </is>
      </c>
      <c r="E228" s="5" t="inlineStr">
        <is>
          <t>10.000,00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=HYPERLINK("https://www.leilaoonline.net/lote/detalhe/153241", "12024")</f>
      </c>
      <c r="B229" s="4" t="s">
        <f>=HYPERLINK("https://www.leilaoonline.net/lote/detalhe/153241", " PLANT.CANA AUTOMÁTICA DMB, ANO 2010, FR92766, LOC. JUNQUEIRA")</f>
      </c>
      <c r="C229" s="4" t="inlineStr">
        <is>
          <t>Vendido</t>
        </is>
      </c>
      <c r="D229" s="4" t="inlineStr">
        <is>
          <t>1</t>
        </is>
      </c>
      <c r="E229" s="5" t="inlineStr">
        <is>
          <t>10.000,00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=HYPERLINK("https://www.leilaoonline.net/lote/detalhe/153242", "12025")</f>
      </c>
      <c r="B230" s="4" t="s">
        <f>=HYPERLINK("https://www.leilaoonline.net/lote/detalhe/153242", " PLANT.CANA AUTOMÁTICA DMB, ANO 2010, FR134053, LOC. JUNQUEIRA")</f>
      </c>
      <c r="C230" s="4" t="inlineStr">
        <is>
          <t>Não vendido</t>
        </is>
      </c>
      <c r="D230" s="4" t="inlineStr">
        <is>
          <t>1</t>
        </is>
      </c>
      <c r="E230" s="5" t="inlineStr">
        <is>
          <t>10.000,00</t>
        </is>
      </c>
      <c r="F230" s="4" t="inlineStr">
        <is>
          <t>500.00</t>
        </is>
      </c>
    </row>
    <row collapsed="false" customFormat="false" customHeight="false" hidden="false" ht="12.1" outlineLevel="0" r="231">
      <c r="A231" s="5" t="s">
        <f>=HYPERLINK("https://www.leilaoonline.net/lote/detalhe/153243", "12026")</f>
      </c>
      <c r="B231" s="4" t="s">
        <f>=HYPERLINK("https://www.leilaoonline.net/lote/detalhe/153243", " CARRETA TROPICAL 2.200 LTS, ANO 2012, FR92802, LOC. JUNQUEIRA ")</f>
      </c>
      <c r="C231" s="4" t="inlineStr">
        <is>
          <t>Não vendido</t>
        </is>
      </c>
      <c r="D231" s="4" t="inlineStr">
        <is>
          <t>1</t>
        </is>
      </c>
      <c r="E231" s="5" t="inlineStr">
        <is>
          <t>3.000,00</t>
        </is>
      </c>
      <c r="F231" s="4" t="inlineStr">
        <is>
          <t>250.00</t>
        </is>
      </c>
    </row>
    <row collapsed="false" customFormat="false" customHeight="false" hidden="false" ht="12.1" outlineLevel="0" r="232">
      <c r="A232" s="5" t="s">
        <f>=HYPERLINK("https://www.leilaoonline.net/lote/detalhe/153244", "12027")</f>
      </c>
      <c r="B232" s="4" t="s">
        <f>=HYPERLINK("https://www.leilaoonline.net/lote/detalhe/153244", " PLANT.CANA AUTOMÁTICA DMB, ANO 2010, FR103902, LOC. JUNQUEIRA ")</f>
      </c>
      <c r="C232" s="4" t="inlineStr">
        <is>
          <t>Não vendido</t>
        </is>
      </c>
      <c r="D232" s="4" t="inlineStr">
        <is>
          <t>1</t>
        </is>
      </c>
      <c r="E232" s="5" t="inlineStr">
        <is>
          <t>10.000,00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=HYPERLINK("https://www.leilaoonline.net/lote/detalhe/153252", "12030")</f>
      </c>
      <c r="B233" s="4" t="s">
        <f>=HYPERLINK("https://www.leilaoonline.net/lote/detalhe/153252", " HIDROROLL HIRRIGABRASIL SEM MOTOR, ANO 1998, FR11003550, LOC. VALE DO ROSÁRIO")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1.500,00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=HYPERLINK("https://www.leilaoonline.net/lote/detalhe/153258", "12032")</f>
      </c>
      <c r="B234" s="4" t="s">
        <f>=HYPERLINK("https://www.leilaoonline.net/lote/detalhe/153258", " TRATOR M.F MF50X ID 2.13723, FR213723, LOC.VALE DO ROSARIO ")</f>
      </c>
      <c r="C234" s="4" t="inlineStr">
        <is>
          <t>Vendido</t>
        </is>
      </c>
      <c r="D234" s="4" t="inlineStr">
        <is>
          <t>5</t>
        </is>
      </c>
      <c r="E234" s="5" t="inlineStr">
        <is>
          <t>17.000,00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=HYPERLINK("https://www.leilaoonline.net/lote/detalhe/153253", "12033")</f>
      </c>
      <c r="B235" s="4" t="s">
        <f>=HYPERLINK("https://www.leilaoonline.net/lote/detalhe/153253", " MOTOGERADOR ., S/FR, LOC. VALE DO ROSÁRIO")</f>
      </c>
      <c r="C235" s="4" t="inlineStr">
        <is>
          <t>Vendido</t>
        </is>
      </c>
      <c r="D235" s="4" t="inlineStr">
        <is>
          <t>39</t>
        </is>
      </c>
      <c r="E235" s="5" t="inlineStr">
        <is>
          <t>13.250,00</t>
        </is>
      </c>
      <c r="F235" s="4" t="inlineStr">
        <is>
          <t>500.00</t>
        </is>
      </c>
    </row>
    <row collapsed="false" customFormat="false" customHeight="false" hidden="false" ht="12.1" outlineLevel="0" r="236">
      <c r="A236" s="5" t="s">
        <f>=HYPERLINK("https://www.leilaoonline.net/lote/detalhe/153248", "12034")</f>
      </c>
      <c r="B236" s="4" t="s">
        <f>=HYPERLINK("https://www.leilaoonline.net/lote/detalhe/153248", " TRATOR CARREGADEIRA M.F 290 , ANO 1993, FR11002081, LOC. VALE DO ROSARIO ")</f>
      </c>
      <c r="C236" s="4" t="inlineStr">
        <is>
          <t>Vendido</t>
        </is>
      </c>
      <c r="D236" s="4" t="inlineStr">
        <is>
          <t>7</t>
        </is>
      </c>
      <c r="E236" s="5" t="inlineStr">
        <is>
          <t>29.000,00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=HYPERLINK("https://www.leilaoonline.net/lote/detalhe/153263", "12035")</f>
      </c>
      <c r="B237" s="4" t="s">
        <f>=HYPERLINK("https://www.leilaoonline.net/lote/detalhe/153263", " GRADE ARADORA CIVEMASA, ANO 2014, FR11003753,  LOC. VALE DO ROSARIO ")</f>
      </c>
      <c r="C237" s="4" t="inlineStr">
        <is>
          <t>Vendido</t>
        </is>
      </c>
      <c r="D237" s="4" t="inlineStr">
        <is>
          <t>74</t>
        </is>
      </c>
      <c r="E237" s="5" t="inlineStr">
        <is>
          <t>40.250,00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=HYPERLINK("https://www.leilaoonline.net/lote/detalhe/153251", "12036")</f>
      </c>
      <c r="B238" s="4" t="s">
        <f>=HYPERLINK("https://www.leilaoonline.net/lote/detalhe/153251", " TRANS.CIVEMASA TRIDEM 13T / TRANS. SANTAL VT 10T, ANO 2008, E 2012, FR13003145/FR9004086, LOC. VALE DO ROSARIO ")</f>
      </c>
      <c r="C238" s="4" t="inlineStr">
        <is>
          <t>Não vendido</t>
        </is>
      </c>
      <c r="D238" s="4" t="inlineStr">
        <is>
          <t>1</t>
        </is>
      </c>
      <c r="E238" s="5" t="inlineStr">
        <is>
          <t>10.000,00</t>
        </is>
      </c>
      <c r="F238" s="4" t="inlineStr">
        <is>
          <t>500.00</t>
        </is>
      </c>
    </row>
    <row collapsed="false" customFormat="false" customHeight="false" hidden="false" ht="12.1" outlineLevel="0" r="239">
      <c r="A239" s="5" t="s">
        <f>=HYPERLINK("https://www.leilaoonline.net/lote/detalhe/153249", "12037")</f>
      </c>
      <c r="B239" s="4" t="s">
        <f>=HYPERLINK("https://www.leilaoonline.net/lote/detalhe/153249", " TRANS.CIVEMASA TRIDEM 13T, ANO 2008, FR9004006, LOC. VALE DO ROSARIO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10.000,00</t>
        </is>
      </c>
      <c r="F239" s="4" t="inlineStr">
        <is>
          <t>500.00</t>
        </is>
      </c>
    </row>
    <row collapsed="false" customFormat="false" customHeight="false" hidden="false" ht="12.1" outlineLevel="0" r="240">
      <c r="A240" s="5" t="s">
        <f>=HYPERLINK("https://www.leilaoonline.net/lote/detalhe/153246", "12038")</f>
      </c>
      <c r="B240" s="4" t="s">
        <f>=HYPERLINK("https://www.leilaoonline.net/lote/detalhe/153246", " TRANS.CIVEMASA TRIDEM 13T, ANO 2008, FR9004053, LOC. VALE DO ROSARIO ")</f>
      </c>
      <c r="C240" s="4" t="inlineStr">
        <is>
          <t>Vendido</t>
        </is>
      </c>
      <c r="D240" s="4" t="inlineStr">
        <is>
          <t>1</t>
        </is>
      </c>
      <c r="E240" s="5" t="inlineStr">
        <is>
          <t>10.000,00</t>
        </is>
      </c>
      <c r="F240" s="4" t="inlineStr">
        <is>
          <t>500.00</t>
        </is>
      </c>
    </row>
    <row collapsed="false" customFormat="false" customHeight="false" hidden="false" ht="12.1" outlineLevel="0" r="241">
      <c r="A241" s="5" t="s">
        <f>=HYPERLINK("https://www.leilaoonline.net/lote/detalhe/153254", "12039")</f>
      </c>
      <c r="B241" s="4" t="s">
        <f>=HYPERLINK("https://www.leilaoonline.net/lote/detalhe/153254", " TRANS.CIVEMASA TRIDEM 13T, ANO 2008, FR5004803, LOC. VALE DO ROSARIO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10.000,00</t>
        </is>
      </c>
      <c r="F241" s="4" t="inlineStr">
        <is>
          <t>500.00</t>
        </is>
      </c>
    </row>
    <row collapsed="false" customFormat="false" customHeight="false" hidden="false" ht="12.1" outlineLevel="0" r="242">
      <c r="A242" s="5" t="s">
        <f>=HYPERLINK("https://www.leilaoonline.net/lote/detalhe/153250", "12040")</f>
      </c>
      <c r="B242" s="4" t="s">
        <f>=HYPERLINK("https://www.leilaoonline.net/lote/detalhe/153250", " CONTAINER COM 1 JANELA , S/ FR, LOC. VALE DO ROSARIO ")</f>
      </c>
      <c r="C242" s="4" t="inlineStr">
        <is>
          <t>Vendido</t>
        </is>
      </c>
      <c r="D242" s="4" t="inlineStr">
        <is>
          <t>3</t>
        </is>
      </c>
      <c r="E242" s="5" t="inlineStr">
        <is>
          <t>5.500,00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=HYPERLINK("https://www.leilaoonline.net/lote/detalhe/153262", "12041")</f>
      </c>
      <c r="B243" s="4" t="s">
        <f>=HYPERLINK("https://www.leilaoonline.net/lote/detalhe/153262", " CONTAINER COM 2 JANELA E BANHEIRO, S/FR, LOC. VALE DO ROSARIO ")</f>
      </c>
      <c r="C243" s="4" t="inlineStr">
        <is>
          <t>Vendido</t>
        </is>
      </c>
      <c r="D243" s="4" t="inlineStr">
        <is>
          <t>10</t>
        </is>
      </c>
      <c r="E243" s="5" t="inlineStr">
        <is>
          <t>7.250,00</t>
        </is>
      </c>
      <c r="F243" s="4" t="inlineStr">
        <is>
          <t>250.00</t>
        </is>
      </c>
    </row>
    <row collapsed="false" customFormat="false" customHeight="false" hidden="false" ht="12.1" outlineLevel="0" r="244">
      <c r="A244" s="5" t="s">
        <f>=HYPERLINK("https://www.leilaoonline.net/lote/detalhe/153256", "12043")</f>
      </c>
      <c r="B244" s="4" t="s">
        <f>=HYPERLINK("https://www.leilaoonline.net/lote/detalhe/153256", " EQUIPAMENTO SERV. DIVERSOS , FR116052, LOC. SANTA ELISA ")</f>
      </c>
      <c r="C244" s="4" t="inlineStr">
        <is>
          <t>Não vendido</t>
        </is>
      </c>
      <c r="D244" s="4" t="inlineStr">
        <is>
          <t>1</t>
        </is>
      </c>
      <c r="E244" s="5" t="inlineStr">
        <is>
          <t>5.000,00</t>
        </is>
      </c>
      <c r="F244" s="4" t="inlineStr">
        <is>
          <t>250.00</t>
        </is>
      </c>
    </row>
    <row collapsed="false" customFormat="false" customHeight="false" hidden="false" ht="12.1" outlineLevel="0" r="245">
      <c r="A245" s="5" t="s">
        <f>=HYPERLINK("https://www.leilaoonline.net/lote/detalhe/153268", "12044")</f>
      </c>
      <c r="B245" s="4" t="s">
        <f>=HYPERLINK("https://www.leilaoonline.net/lote/detalhe/153268", " GRADE DESTORROADORA TATU, ANO 2012, FR1003130, LOC. SANTA ELISA ")</f>
      </c>
      <c r="C245" s="4" t="inlineStr">
        <is>
          <t>Vendido</t>
        </is>
      </c>
      <c r="D245" s="4" t="inlineStr">
        <is>
          <t>62</t>
        </is>
      </c>
      <c r="E245" s="5" t="inlineStr">
        <is>
          <t>35.000,00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=HYPERLINK("https://www.leilaoonline.net/lote/detalhe/153255", "12045")</f>
      </c>
      <c r="B246" s="4" t="s">
        <f>=HYPERLINK("https://www.leilaoonline.net/lote/detalhe/153255", "GRADE ARADORA PESADA, MARCA  CIVEMASA, ANO 2013,  FR1003143,  LOC. SANTA ELISA ")</f>
      </c>
      <c r="C246" s="4" t="inlineStr">
        <is>
          <t>Vendido</t>
        </is>
      </c>
      <c r="D246" s="4" t="inlineStr">
        <is>
          <t>84</t>
        </is>
      </c>
      <c r="E246" s="5" t="inlineStr">
        <is>
          <t>41.500,00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=HYPERLINK("https://www.leilaoonline.net/lote/detalhe/156125", "12047")</f>
      </c>
      <c r="B247" s="4" t="s">
        <f>=HYPERLINK("https://www.leilaoonline.net/lote/detalhe/156125", "MOTOR COM GERADOR BAMBOZZI 1800 RPM, SERIE N° 356545, LOC. SANTA ELISA")</f>
      </c>
      <c r="C247" s="4" t="inlineStr">
        <is>
          <t>Vendido</t>
        </is>
      </c>
      <c r="D247" s="4" t="inlineStr">
        <is>
          <t>12</t>
        </is>
      </c>
      <c r="E247" s="5" t="inlineStr">
        <is>
          <t>5.750,00</t>
        </is>
      </c>
      <c r="F247" s="4" t="inlineStr">
        <is>
          <t>250.00</t>
        </is>
      </c>
    </row>
    <row collapsed="false" customFormat="false" customHeight="false" hidden="false" ht="12.1" outlineLevel="0" r="248">
      <c r="A248" s="5" t="s">
        <f>=HYPERLINK("https://www.leilaoonline.net/lote/detalhe/153261", "12048")</f>
      </c>
      <c r="B248" s="4" t="s">
        <f>=HYPERLINK("https://www.leilaoonline.net/lote/detalhe/153261", " CULTIVADOR C/TANQUE DMB, ANO 2012, FR11003635, LOC. SANTA ELISA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5.000,00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=HYPERLINK("https://www.leilaoonline.net/lote/detalhe/153257", "12050")</f>
      </c>
      <c r="B249" s="4" t="s">
        <f>=HYPERLINK("https://www.leilaoonline.net/lote/detalhe/153257", " 3 CARRETINHAS SERV.GERAIS, ANO 2016, FRS14003623/3633/3627, LOC. SANTA ELISA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2.000,00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=HYPERLINK("https://www.leilaoonline.net/lote/detalhe/153267", "12052")</f>
      </c>
      <c r="B250" s="4" t="s">
        <f>=HYPERLINK("https://www.leilaoonline.net/lote/detalhe/153267", " TANQUE DE AÇO, S/FR, LOC. SANTA ELISA ")</f>
      </c>
      <c r="C250" s="4" t="inlineStr">
        <is>
          <t>Não vendido</t>
        </is>
      </c>
      <c r="D250" s="4" t="inlineStr">
        <is>
          <t>3</t>
        </is>
      </c>
      <c r="E250" s="5" t="inlineStr">
        <is>
          <t>5.500,00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=HYPERLINK("https://www.leilaoonline.net/lote/detalhe/153265", "12053")</f>
      </c>
      <c r="B251" s="4" t="s">
        <f>=HYPERLINK("https://www.leilaoonline.net/lote/detalhe/153265", " 4 TUBOS INOX/FERROSO, S/FR, LOC. SANTA ELISA ")</f>
      </c>
      <c r="C251" s="4" t="inlineStr">
        <is>
          <t>Vendido</t>
        </is>
      </c>
      <c r="D251" s="4" t="inlineStr">
        <is>
          <t>17</t>
        </is>
      </c>
      <c r="E251" s="5" t="inlineStr">
        <is>
          <t>6.500,00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=HYPERLINK("https://www.leilaoonline.net/lote/detalhe/153269", "12054")</f>
      </c>
      <c r="B252" s="4" t="s">
        <f>=HYPERLINK("https://www.leilaoonline.net/lote/detalhe/153269", " 17 TUBOS DE AÇO MED. DIVERSAS, S/FR, LOC. SANTA ELISA ")</f>
      </c>
      <c r="C252" s="4" t="inlineStr">
        <is>
          <t>Vendido</t>
        </is>
      </c>
      <c r="D252" s="4" t="inlineStr">
        <is>
          <t>41</t>
        </is>
      </c>
      <c r="E252" s="5" t="inlineStr">
        <is>
          <t>15.000,00</t>
        </is>
      </c>
      <c r="F252" s="4" t="inlineStr">
        <is>
          <t>500.00</t>
        </is>
      </c>
    </row>
    <row collapsed="false" customFormat="false" customHeight="false" hidden="false" ht="12.1" outlineLevel="0" r="253">
      <c r="A253" s="5" t="s">
        <f>=HYPERLINK("https://www.leilaoonline.net/lote/detalhe/153270", "12055")</f>
      </c>
      <c r="B253" s="4" t="s">
        <f>=HYPERLINK("https://www.leilaoonline.net/lote/detalhe/153270", " 10 TON. TUBOS EVAPORAÇÃOMED. 6MTS X 2 "P" /TESOURAS -( VENDA POR KILO ) , S/FR, LOC. SANTA ELISA ")</f>
      </c>
      <c r="C253" s="4" t="inlineStr">
        <is>
          <t>Não vendido</t>
        </is>
      </c>
      <c r="D253" s="4" t="inlineStr">
        <is>
          <t>14</t>
        </is>
      </c>
      <c r="E253" s="5" t="inlineStr">
        <is>
          <t>30.000,00</t>
        </is>
      </c>
      <c r="F253" s="4" t="inlineStr">
        <is>
          <t>0.10</t>
        </is>
      </c>
    </row>
    <row collapsed="false" customFormat="false" customHeight="false" hidden="false" ht="12.1" outlineLevel="0" r="254">
      <c r="A254" s="5" t="s">
        <f>=HYPERLINK("https://www.leilaoonline.net/lote/detalhe/153266", "12056")</f>
      </c>
      <c r="B254" s="4" t="s">
        <f>=HYPERLINK("https://www.leilaoonline.net/lote/detalhe/153266", " TRANSFORMADOR INCOTRAZA, S/FR, LOC. SANTA ELISA ")</f>
      </c>
      <c r="C254" s="4" t="inlineStr">
        <is>
          <t>Não vendido</t>
        </is>
      </c>
      <c r="D254" s="4" t="inlineStr">
        <is>
          <t>10</t>
        </is>
      </c>
      <c r="E254" s="5" t="inlineStr">
        <is>
          <t>5.250,00</t>
        </is>
      </c>
      <c r="F254" s="4" t="inlineStr">
        <is>
          <t>250.00</t>
        </is>
      </c>
    </row>
    <row collapsed="false" customFormat="false" customHeight="false" hidden="false" ht="12.1" outlineLevel="0" r="255">
      <c r="A255" s="5" t="s">
        <f>=HYPERLINK("https://www.leilaoonline.net/lote/detalhe/153273", "12057")</f>
      </c>
      <c r="B255" s="4" t="s">
        <f>=HYPERLINK("https://www.leilaoonline.net/lote/detalhe/153273", " TANQUE AÇO VERTICAL, S/FR, LOC. SANTA ELISA ")</f>
      </c>
      <c r="C255" s="4" t="inlineStr">
        <is>
          <t>Não vendido</t>
        </is>
      </c>
      <c r="D255" s="4" t="inlineStr">
        <is>
          <t>1</t>
        </is>
      </c>
      <c r="E255" s="5" t="inlineStr">
        <is>
          <t>3.000,00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=HYPERLINK("https://www.leilaoonline.net/lote/detalhe/153264", "12058")</f>
      </c>
      <c r="B256" s="4" t="s">
        <f>=HYPERLINK("https://www.leilaoonline.net/lote/detalhe/153264", " TANQUE AÇO  VERTICAL C/ MOTOR, S/FR, LOC. SANTA ELISA ")</f>
      </c>
      <c r="C256" s="4" t="inlineStr">
        <is>
          <t>Não vendido</t>
        </is>
      </c>
      <c r="D256" s="4" t="inlineStr">
        <is>
          <t>5</t>
        </is>
      </c>
      <c r="E256" s="5" t="inlineStr">
        <is>
          <t>4.000,00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=HYPERLINK("https://www.leilaoonline.net/lote/detalhe/153272", "12059")</f>
      </c>
      <c r="B257" s="4" t="s">
        <f>=HYPERLINK("https://www.leilaoonline.net/lote/detalhe/153272", " SUBSOLADOR CIVEMASA, ANO 2014, FR14003605, LOC. SANTA ELISA")</f>
      </c>
      <c r="C257" s="4" t="inlineStr">
        <is>
          <t>Não vendido</t>
        </is>
      </c>
      <c r="D257" s="4" t="inlineStr">
        <is>
          <t>1</t>
        </is>
      </c>
      <c r="E257" s="5" t="inlineStr">
        <is>
          <t>3.000,00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=HYPERLINK("https://www.leilaoonline.net/lote/detalhe/153259", "12060")</f>
      </c>
      <c r="B258" s="4" t="s">
        <f>=HYPERLINK("https://www.leilaoonline.net/lote/detalhe/153259", " GRADE DESTORROADORA CIVEMASA,ANO 2013,  FR14003593, LOC. SANTA ELISA ")</f>
      </c>
      <c r="C258" s="4" t="inlineStr">
        <is>
          <t>Não vendido</t>
        </is>
      </c>
      <c r="D258" s="4" t="inlineStr">
        <is>
          <t>1</t>
        </is>
      </c>
      <c r="E258" s="5" t="inlineStr">
        <is>
          <t>3.000,00</t>
        </is>
      </c>
      <c r="F258" s="4" t="inlineStr">
        <is>
          <t>250.00</t>
        </is>
      </c>
    </row>
    <row collapsed="false" customFormat="false" customHeight="false" hidden="false" ht="12.1" outlineLevel="0" r="259">
      <c r="A259" s="5" t="s">
        <f>=HYPERLINK("https://www.leilaoonline.net/lote/detalhe/153271", "12061")</f>
      </c>
      <c r="B259" s="4" t="s">
        <f>=HYPERLINK("https://www.leilaoonline.net/lote/detalhe/153271", " SUBSOLADOR CIVEMASA, ANO 2013, FR1003156, LOC. SANTA ELISA")</f>
      </c>
      <c r="C259" s="4" t="inlineStr">
        <is>
          <t>Não vendido</t>
        </is>
      </c>
      <c r="D259" s="4" t="inlineStr">
        <is>
          <t>1</t>
        </is>
      </c>
      <c r="E259" s="5" t="inlineStr">
        <is>
          <t>2.000,00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=HYPERLINK("https://www.leilaoonline.net/lote/detalhe/153311", "16421")</f>
      </c>
      <c r="B260" s="4" t="s">
        <f>=HYPERLINK("https://www.leilaoonline.net/lote/detalhe/153311", " TRANSBORDO SANTAL 12 T, ANO 2013, FR88953, LOC. GASA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10.000,00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=HYPERLINK("https://www.leilaoonline.net/lote/detalhe/153303", "16482")</f>
      </c>
      <c r="B261" s="4" t="s">
        <f>=HYPERLINK("https://www.leilaoonline.net/lote/detalhe/153303", " COLHEDORA JOHN DEERE 3520, ANO 2010, FR81718, LOC. GASA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25.000,00</t>
        </is>
      </c>
      <c r="F261" s="4" t="inlineStr">
        <is>
          <t>1000.00</t>
        </is>
      </c>
    </row>
    <row collapsed="false" customFormat="false" customHeight="false" hidden="false" ht="12.1" outlineLevel="0" r="262">
      <c r="A262" s="5" t="s">
        <f>=HYPERLINK("https://www.leilaoonline.net/lote/detalhe/153277", "16483")</f>
      </c>
      <c r="B262" s="4" t="s">
        <f>=HYPERLINK("https://www.leilaoonline.net/lote/detalhe/153277", " COLHEDORA JOHN DEERE 3522, ANO 2010, FR173406, LOC. GASA")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25.000,00</t>
        </is>
      </c>
      <c r="F262" s="4" t="inlineStr">
        <is>
          <t>1000.00</t>
        </is>
      </c>
    </row>
    <row collapsed="false" customFormat="false" customHeight="false" hidden="false" ht="12.1" outlineLevel="0" r="263">
      <c r="A263" s="5" t="s">
        <f>=HYPERLINK("https://www.leilaoonline.net/lote/detalhe/153289", "16486")</f>
      </c>
      <c r="B263" s="4" t="s">
        <f>=HYPERLINK("https://www.leilaoonline.net/lote/detalhe/153289", " COLHEDORA J. DEERE , ANO 2008, FR117226, LOC. GASA 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25.000,00</t>
        </is>
      </c>
      <c r="F263" s="4" t="inlineStr">
        <is>
          <t>1000.00</t>
        </is>
      </c>
    </row>
    <row collapsed="false" customFormat="false" customHeight="false" hidden="false" ht="12.1" outlineLevel="0" r="264">
      <c r="A264" s="5" t="s">
        <f>=HYPERLINK("https://www.leilaoonline.net/lote/detalhe/153310", "16492")</f>
      </c>
      <c r="B264" s="4" t="s">
        <f>=HYPERLINK("https://www.leilaoonline.net/lote/detalhe/153310", " TRANSBORDO SERMAG 12 T, ANO 2009, FR84972, LOC. GASA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10.000,00</t>
        </is>
      </c>
      <c r="F264" s="4" t="inlineStr">
        <is>
          <t>500.00</t>
        </is>
      </c>
    </row>
    <row collapsed="false" customFormat="false" customHeight="false" hidden="false" ht="12.1" outlineLevel="0" r="265">
      <c r="A265" s="5" t="s">
        <f>=HYPERLINK("https://www.leilaoonline.net/lote/detalhe/153295", "16500")</f>
      </c>
      <c r="B265" s="4" t="s">
        <f>=HYPERLINK("https://www.leilaoonline.net/lote/detalhe/153295", " TRANSBORDO ATA 12000 12T, ANO 2012, FR123758, LOC. GASA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10.000,00</t>
        </is>
      </c>
      <c r="F265" s="4" t="inlineStr">
        <is>
          <t>500.00</t>
        </is>
      </c>
    </row>
    <row collapsed="false" customFormat="false" customHeight="false" hidden="false" ht="12.1" outlineLevel="0" r="266">
      <c r="A266" s="5" t="s">
        <f>=HYPERLINK("https://www.leilaoonline.net/lote/detalhe/153278", "16519")</f>
      </c>
      <c r="B266" s="4" t="s">
        <f>=HYPERLINK("https://www.leilaoonline.net/lote/detalhe/153278", " COLHEDORA J DEERE, ANO 2013, FR173409, LOC. UNIVALEM ")</f>
      </c>
      <c r="C266" s="4" t="inlineStr">
        <is>
          <t>Não vendido</t>
        </is>
      </c>
      <c r="D266" s="4" t="inlineStr">
        <is>
          <t>2</t>
        </is>
      </c>
      <c r="E266" s="5" t="inlineStr">
        <is>
          <t>26.000,00</t>
        </is>
      </c>
      <c r="F266" s="4" t="inlineStr">
        <is>
          <t>1000.00</t>
        </is>
      </c>
    </row>
    <row collapsed="false" customFormat="false" customHeight="false" hidden="false" ht="12.1" outlineLevel="0" r="267">
      <c r="A267" s="5" t="s">
        <f>=HYPERLINK("https://www.leilaoonline.net/lote/detalhe/153294", "16526")</f>
      </c>
      <c r="B267" s="4" t="s">
        <f>=HYPERLINK("https://www.leilaoonline.net/lote/detalhe/153294", " COLHEDORA J DEERE, ANO 2010, FR81742, LOC. UNIVALEM ")</f>
      </c>
      <c r="C267" s="4" t="inlineStr">
        <is>
          <t>Não vendido</t>
        </is>
      </c>
      <c r="D267" s="4" t="inlineStr">
        <is>
          <t>1</t>
        </is>
      </c>
      <c r="E267" s="5" t="inlineStr">
        <is>
          <t>10.000,00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=HYPERLINK("https://www.leilaoonline.net/lote/detalhe/153287", "16546")</f>
      </c>
      <c r="B268" s="4" t="s">
        <f>=HYPERLINK("https://www.leilaoonline.net/lote/detalhe/153287", " TRANSBORDO ATA 12000 , ANO 2010, FR84780, LOC. UNIVALEM")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10.000,00</t>
        </is>
      </c>
      <c r="F268" s="4" t="inlineStr">
        <is>
          <t>500.00</t>
        </is>
      </c>
    </row>
    <row collapsed="false" customFormat="false" customHeight="false" hidden="false" ht="12.1" outlineLevel="0" r="269">
      <c r="A269" s="5" t="s">
        <f>=HYPERLINK("https://www.leilaoonline.net/lote/detalhe/153285", "16547")</f>
      </c>
      <c r="B269" s="4" t="s">
        <f>=HYPERLINK("https://www.leilaoonline.net/lote/detalhe/153285", " TRANSBORDO ATA 12000 12T, ANO 2012, FR112495, LOC. UNIVALEM ")</f>
      </c>
      <c r="C269" s="4" t="inlineStr">
        <is>
          <t>Não vendido</t>
        </is>
      </c>
      <c r="D269" s="4" t="inlineStr">
        <is>
          <t>3</t>
        </is>
      </c>
      <c r="E269" s="5" t="inlineStr">
        <is>
          <t>11.000,00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=HYPERLINK("https://www.leilaoonline.net/lote/detalhe/153299", "16551")</f>
      </c>
      <c r="B270" s="4" t="s">
        <f>=HYPERLINK("https://www.leilaoonline.net/lote/detalhe/153299", " TRANSBORDO SANTAL 12 T, ANO 2014, FR84621,  LOC. UNIVALEM ")</f>
      </c>
      <c r="C270" s="4" t="inlineStr">
        <is>
          <t>Não vendido</t>
        </is>
      </c>
      <c r="D270" s="4" t="inlineStr">
        <is>
          <t>1</t>
        </is>
      </c>
      <c r="E270" s="5" t="inlineStr">
        <is>
          <t>10.000,00</t>
        </is>
      </c>
      <c r="F270" s="4" t="inlineStr">
        <is>
          <t>1000.00</t>
        </is>
      </c>
    </row>
    <row collapsed="false" customFormat="false" customHeight="false" hidden="false" ht="12.1" outlineLevel="0" r="271">
      <c r="A271" s="5" t="s">
        <f>=HYPERLINK("https://www.leilaoonline.net/lote/detalhe/153304", "16554")</f>
      </c>
      <c r="B271" s="4" t="s">
        <f>=HYPERLINK("https://www.leilaoonline.net/lote/detalhe/153304", " TRANSBORDO, FR57646 , LOC. UNIVALEM")</f>
      </c>
      <c r="C271" s="4" t="inlineStr">
        <is>
          <t>Não vendido</t>
        </is>
      </c>
      <c r="D271" s="4" t="inlineStr">
        <is>
          <t>2</t>
        </is>
      </c>
      <c r="E271" s="5" t="inlineStr">
        <is>
          <t>10.500,00</t>
        </is>
      </c>
      <c r="F271" s="4" t="inlineStr">
        <is>
          <t>1000.00</t>
        </is>
      </c>
    </row>
    <row collapsed="false" customFormat="false" customHeight="false" hidden="false" ht="12.1" outlineLevel="0" r="272">
      <c r="A272" s="5" t="s">
        <f>=HYPERLINK("https://www.leilaoonline.net/lote/detalhe/153280", "16557")</f>
      </c>
      <c r="B272" s="4" t="s">
        <f>=HYPERLINK("https://www.leilaoonline.net/lote/detalhe/153280", " TRANSBORDO ATA 12000 12T, ANO 2012, FR84612, LOC. UNIVALEM 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10.000,00</t>
        </is>
      </c>
      <c r="F272" s="4" t="inlineStr">
        <is>
          <t>500.00</t>
        </is>
      </c>
    </row>
    <row collapsed="false" customFormat="false" customHeight="false" hidden="false" ht="12.1" outlineLevel="0" r="273">
      <c r="A273" s="5" t="s">
        <f>=HYPERLINK("https://www.leilaoonline.net/lote/detalhe/153300", "16558")</f>
      </c>
      <c r="B273" s="4" t="s">
        <f>=HYPERLINK("https://www.leilaoonline.net/lote/detalhe/153300", " TRANSBORDO SANTAL 12 T, ANO 2014, FR84633, LOC. UNIVALEM ")</f>
      </c>
      <c r="C273" s="4" t="inlineStr">
        <is>
          <t>Não vendido</t>
        </is>
      </c>
      <c r="D273" s="4" t="inlineStr">
        <is>
          <t>2</t>
        </is>
      </c>
      <c r="E273" s="5" t="inlineStr">
        <is>
          <t>10.500,00</t>
        </is>
      </c>
      <c r="F273" s="4" t="inlineStr">
        <is>
          <t>1000.00</t>
        </is>
      </c>
    </row>
    <row collapsed="false" customFormat="false" customHeight="false" hidden="false" ht="12.1" outlineLevel="0" r="274">
      <c r="A274" s="5" t="s">
        <f>=HYPERLINK("https://www.leilaoonline.net/lote/detalhe/153275", "16572")</f>
      </c>
      <c r="B274" s="4" t="s">
        <f>=HYPERLINK("https://www.leilaoonline.net/lote/detalhe/153275", " TRANSBORDO SANTAL, ANO 2008, FR88774, LOC. BENALCOOL")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10.000,00</t>
        </is>
      </c>
      <c r="F274" s="4" t="inlineStr">
        <is>
          <t>500.00</t>
        </is>
      </c>
    </row>
    <row collapsed="false" customFormat="false" customHeight="false" hidden="false" ht="12.1" outlineLevel="0" r="275">
      <c r="A275" s="5" t="s">
        <f>=HYPERLINK("https://www.leilaoonline.net/lote/detalhe/153279", "16574")</f>
      </c>
      <c r="B275" s="4" t="s">
        <f>=HYPERLINK("https://www.leilaoonline.net/lote/detalhe/153279", " TRANSBORDO SANTAL, ANO 2014, FR84630, LOC. BENALCOOL")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10.000,00</t>
        </is>
      </c>
      <c r="F275" s="4" t="inlineStr">
        <is>
          <t>500.00</t>
        </is>
      </c>
    </row>
    <row collapsed="false" customFormat="false" customHeight="false" hidden="false" ht="12.1" outlineLevel="0" r="276">
      <c r="A276" s="5" t="s">
        <f>=HYPERLINK("https://www.leilaoonline.net/lote/detalhe/153236", "16575")</f>
      </c>
      <c r="B276" s="4" t="s">
        <f>=HYPERLINK("https://www.leilaoonline.net/lote/detalhe/153236", " TRANSBORDO SANTAL, ANO 2014, FR173163, LOC. BENALCOOL")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10.000,00</t>
        </is>
      </c>
      <c r="F276" s="4" t="inlineStr">
        <is>
          <t>500.00</t>
        </is>
      </c>
    </row>
    <row collapsed="false" customFormat="false" customHeight="false" hidden="false" ht="12.1" outlineLevel="0" r="277">
      <c r="A277" s="5" t="s">
        <f>=HYPERLINK("https://www.leilaoonline.net/lote/detalhe/153274", "16584")</f>
      </c>
      <c r="B277" s="4" t="s">
        <f>=HYPERLINK("https://www.leilaoonline.net/lote/detalhe/153274", " TRANSBORDO , ANO 2014, FR91275, LOC. DESTIVALE")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10.000,00</t>
        </is>
      </c>
      <c r="F277" s="4" t="inlineStr">
        <is>
          <t>500.00</t>
        </is>
      </c>
    </row>
    <row collapsed="false" customFormat="false" customHeight="false" hidden="false" ht="12.1" outlineLevel="0" r="278">
      <c r="A278" s="5" t="s">
        <f>=HYPERLINK("https://www.leilaoonline.net/lote/detalhe/153206", "17215")</f>
      </c>
      <c r="B278" s="4" t="s">
        <f>=HYPERLINK("https://www.leilaoonline.net/lote/detalhe/153206", " Torre de Resfriamento (nota será emitida como sucata Plastica). - S/FR. - LOC. IPAUSSU/SP")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3.000,00</t>
        </is>
      </c>
      <c r="F278" s="4" t="inlineStr">
        <is>
          <t>250.00</t>
        </is>
      </c>
    </row>
    <row collapsed="false" customFormat="false" customHeight="false" hidden="false" ht="12.1" outlineLevel="0" r="279">
      <c r="A279" s="5" t="s">
        <f>=HYPERLINK("https://www.leilaoonline.net/lote/detalhe/153187", "17320")</f>
      </c>
      <c r="B279" s="4" t="s">
        <f>=HYPERLINK("https://www.leilaoonline.net/lote/detalhe/153187", " Venda por KILO Sucata Valvula 10 Ton. Aprox Venda por Kilo. - S/FR. - LOC. IPAUSSU/SP")</f>
      </c>
      <c r="C279" s="4" t="inlineStr">
        <is>
          <t>Não vendido</t>
        </is>
      </c>
      <c r="D279" s="4" t="inlineStr">
        <is>
          <t>26</t>
        </is>
      </c>
      <c r="E279" s="5" t="inlineStr">
        <is>
          <t>43.000,00</t>
        </is>
      </c>
      <c r="F279" s="4" t="inlineStr">
        <is>
          <t>0.10</t>
        </is>
      </c>
    </row>
    <row collapsed="false" customFormat="false" customHeight="false" hidden="false" ht="12.1" outlineLevel="0" r="280">
      <c r="A280" s="5" t="s">
        <f>=HYPERLINK("https://www.leilaoonline.net/lote/detalhe/153204", "17321")</f>
      </c>
      <c r="B280" s="4" t="s">
        <f>=HYPERLINK("https://www.leilaoonline.net/lote/detalhe/153204", " APROX. 36 EQUIPAMENTOS DIVERSOS, VEJA DESCRITIVO DE ITENS. - LOC. IPAUSSU/SP")</f>
      </c>
      <c r="C280" s="4" t="inlineStr">
        <is>
          <t>Não vendido</t>
        </is>
      </c>
      <c r="D280" s="4" t="inlineStr">
        <is>
          <t>9</t>
        </is>
      </c>
      <c r="E280" s="5" t="inlineStr">
        <is>
          <t>5.000,00</t>
        </is>
      </c>
      <c r="F280" s="4" t="inlineStr">
        <is>
          <t>250.00</t>
        </is>
      </c>
    </row>
    <row collapsed="false" customFormat="false" customHeight="false" hidden="false" ht="12.1" outlineLevel="0" r="281">
      <c r="A281" s="5" t="s">
        <f>=HYPERLINK("https://www.leilaoonline.net/lote/detalhe/153190", "17322")</f>
      </c>
      <c r="B281" s="4" t="s">
        <f>=HYPERLINK("https://www.leilaoonline.net/lote/detalhe/153190", " 50 Telhas Zinco, 1 Banco cimento, 15 Aprox.  Vasos/Lavatorio/Coluna Sucateado. - S/FR. - LOC. IPAUSSU/SP")</f>
      </c>
      <c r="C281" s="4" t="inlineStr">
        <is>
          <t>Não vendido</t>
        </is>
      </c>
      <c r="D281" s="4" t="inlineStr">
        <is>
          <t>21</t>
        </is>
      </c>
      <c r="E281" s="5" t="inlineStr">
        <is>
          <t>6.000,00</t>
        </is>
      </c>
      <c r="F281" s="4" t="inlineStr">
        <is>
          <t>250.00</t>
        </is>
      </c>
    </row>
    <row collapsed="false" customFormat="false" customHeight="false" hidden="false" ht="12.1" outlineLevel="0" r="282">
      <c r="A282" s="5" t="s">
        <f>=HYPERLINK("https://www.leilaoonline.net/lote/detalhe/153182", "17323")</f>
      </c>
      <c r="B282" s="4" t="s">
        <f>=HYPERLINK("https://www.leilaoonline.net/lote/detalhe/153182", " 50 Und. Aprox. de Cadeiras, 1 Maq. De lavar. - S/FR. - LOC. IPAUSSU/SP")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1.000,00</t>
        </is>
      </c>
      <c r="F282" s="4" t="inlineStr">
        <is>
          <t>250.00</t>
        </is>
      </c>
    </row>
    <row collapsed="false" customFormat="false" customHeight="false" hidden="false" ht="12.1" outlineLevel="0" r="283">
      <c r="A283" s="5" t="s">
        <f>=HYPERLINK("https://www.leilaoonline.net/lote/detalhe/153177", "17324")</f>
      </c>
      <c r="B283" s="4" t="s">
        <f>=HYPERLINK("https://www.leilaoonline.net/lote/detalhe/153177", " Enfardadora Palha Arrast, ANO 2015. - FR.57090. - LOC. IPAUSSU/SP")</f>
      </c>
      <c r="C283" s="4" t="inlineStr">
        <is>
          <t>Vendido</t>
        </is>
      </c>
      <c r="D283" s="4" t="inlineStr">
        <is>
          <t>150</t>
        </is>
      </c>
      <c r="E283" s="5" t="inlineStr">
        <is>
          <t>107.250,00</t>
        </is>
      </c>
      <c r="F283" s="4" t="inlineStr">
        <is>
          <t>1000.00</t>
        </is>
      </c>
    </row>
    <row collapsed="false" customFormat="false" customHeight="false" hidden="false" ht="12.1" outlineLevel="0" r="284">
      <c r="A284" s="5" t="s">
        <f>=HYPERLINK("https://www.leilaoonline.net/lote/detalhe/153195", "17325")</f>
      </c>
      <c r="B284" s="4" t="s">
        <f>=HYPERLINK("https://www.leilaoonline.net/lote/detalhe/153195", " Enfardadora Palha Arrast, ANO 2017. - FR.48606. - LOC. IPAUSSU/SP")</f>
      </c>
      <c r="C284" s="4" t="inlineStr">
        <is>
          <t>Vendido</t>
        </is>
      </c>
      <c r="D284" s="4" t="inlineStr">
        <is>
          <t>167</t>
        </is>
      </c>
      <c r="E284" s="5" t="inlineStr">
        <is>
          <t>127.000,00</t>
        </is>
      </c>
      <c r="F284" s="4" t="inlineStr">
        <is>
          <t>1000.00</t>
        </is>
      </c>
    </row>
    <row collapsed="false" customFormat="false" customHeight="false" hidden="false" ht="12.1" outlineLevel="0" r="285">
      <c r="A285" s="5" t="s">
        <f>=HYPERLINK("https://www.leilaoonline.net/lote/detalhe/153198", "17326")</f>
      </c>
      <c r="B285" s="4" t="s">
        <f>=HYPERLINK("https://www.leilaoonline.net/lote/detalhe/153198", " CAMINHÃO MERCEDES Benz Axor 3344S 6x4 CAV. ANO 2012/2012, BRANCO - FR.362096. - LOC. IPAUSSU/SP")</f>
      </c>
      <c r="C285" s="4" t="inlineStr">
        <is>
          <t>Não vendido</t>
        </is>
      </c>
      <c r="D285" s="4" t="inlineStr">
        <is>
          <t>81</t>
        </is>
      </c>
      <c r="E285" s="5" t="inlineStr">
        <is>
          <t>133.000,00</t>
        </is>
      </c>
      <c r="F285" s="4" t="inlineStr">
        <is>
          <t>1000.00</t>
        </is>
      </c>
    </row>
    <row collapsed="false" customFormat="false" customHeight="false" hidden="false" ht="12.1" outlineLevel="0" r="286">
      <c r="A286" s="5" t="s">
        <f>=HYPERLINK("https://www.leilaoonline.net/lote/detalhe/153178", "17327")</f>
      </c>
      <c r="B286" s="4" t="s">
        <f>=HYPERLINK("https://www.leilaoonline.net/lote/detalhe/153178", " Carreta Serv. Gerais, 3 Bedouro e 1 Escada de aluminio. ANO 1998 - FR.48004. - LOC. IPAUSSU/SP")</f>
      </c>
      <c r="C286" s="4" t="inlineStr">
        <is>
          <t>Vendido</t>
        </is>
      </c>
      <c r="D286" s="4" t="inlineStr">
        <is>
          <t>2</t>
        </is>
      </c>
      <c r="E286" s="5" t="inlineStr">
        <is>
          <t>2.250,00</t>
        </is>
      </c>
      <c r="F286" s="4" t="inlineStr">
        <is>
          <t>250.00</t>
        </is>
      </c>
    </row>
    <row collapsed="false" customFormat="false" customHeight="false" hidden="false" ht="12.1" outlineLevel="0" r="287">
      <c r="A287" s="5" t="s">
        <f>=HYPERLINK("https://www.leilaoonline.net/lote/detalhe/153166", "17328")</f>
      </c>
      <c r="B287" s="4" t="s">
        <f>=HYPERLINK("https://www.leilaoonline.net/lote/detalhe/153166", "Chevrolet S10 venda como sucata (VENDA SEM DOCUMENTO), ANO 2012 - FR.46619. - LOC. IPAUSSU/SP")</f>
      </c>
      <c r="C287" s="4" t="inlineStr">
        <is>
          <t>Vendido</t>
        </is>
      </c>
      <c r="D287" s="4" t="inlineStr">
        <is>
          <t>1</t>
        </is>
      </c>
      <c r="E287" s="5" t="inlineStr">
        <is>
          <t>10.000,00</t>
        </is>
      </c>
      <c r="F287" s="4" t="inlineStr">
        <is>
          <t>500.00</t>
        </is>
      </c>
    </row>
    <row collapsed="false" customFormat="false" customHeight="false" hidden="false" ht="12.1" outlineLevel="0" r="288">
      <c r="A288" s="5" t="s">
        <f>=HYPERLINK("https://www.leilaoonline.net/lote/detalhe/153183", "17329")</f>
      </c>
      <c r="B288" s="4" t="s">
        <f>=HYPERLINK("https://www.leilaoonline.net/lote/detalhe/153183", " CAMINHÃO MERCEDES Benz Axor 3344S 6x4 CAV. ANO 2014/2014, BRANCO - FR.362096. - LOC. IPAUSSU/SP")</f>
      </c>
      <c r="C288" s="4" t="inlineStr">
        <is>
          <t>Não vendido</t>
        </is>
      </c>
      <c r="D288" s="4" t="inlineStr">
        <is>
          <t>96</t>
        </is>
      </c>
      <c r="E288" s="5" t="inlineStr">
        <is>
          <t>153.000,00</t>
        </is>
      </c>
      <c r="F288" s="4" t="inlineStr">
        <is>
          <t>1000.00</t>
        </is>
      </c>
    </row>
    <row collapsed="false" customFormat="false" customHeight="false" hidden="false" ht="12.1" outlineLevel="0" r="289">
      <c r="A289" s="5" t="s">
        <f>=HYPERLINK("https://www.leilaoonline.net/lote/detalhe/153173", "17330")</f>
      </c>
      <c r="B289" s="4" t="s">
        <f>=HYPERLINK("https://www.leilaoonline.net/lote/detalhe/153173", " Desenleirador Palha DMB, ANO 2013. - FR.48175. - LOC. IPAUSSU/SP")</f>
      </c>
      <c r="C289" s="4" t="inlineStr">
        <is>
          <t>Não vendido</t>
        </is>
      </c>
      <c r="D289" s="4" t="inlineStr">
        <is>
          <t>3</t>
        </is>
      </c>
      <c r="E289" s="5" t="inlineStr">
        <is>
          <t>4.000,00</t>
        </is>
      </c>
      <c r="F289" s="4" t="inlineStr">
        <is>
          <t>250.00</t>
        </is>
      </c>
    </row>
    <row collapsed="false" customFormat="false" customHeight="false" hidden="false" ht="12.1" outlineLevel="0" r="290">
      <c r="A290" s="5" t="s">
        <f>=HYPERLINK("https://www.leilaoonline.net/lote/detalhe/153165", "17331")</f>
      </c>
      <c r="B290" s="4" t="s">
        <f>=HYPERLINK("https://www.leilaoonline.net/lote/detalhe/153165", " Car.Fardo de Palha M12010, ANO 2012. - FR.48309. - LOC. IPAUSSU/SP")</f>
      </c>
      <c r="C290" s="4" t="inlineStr">
        <is>
          <t>Não vendido</t>
        </is>
      </c>
      <c r="D290" s="4" t="inlineStr">
        <is>
          <t>37</t>
        </is>
      </c>
      <c r="E290" s="5" t="inlineStr">
        <is>
          <t>18.500,00</t>
        </is>
      </c>
      <c r="F290" s="4" t="inlineStr">
        <is>
          <t>500.00</t>
        </is>
      </c>
    </row>
    <row collapsed="false" customFormat="false" customHeight="false" hidden="false" ht="12.1" outlineLevel="0" r="291">
      <c r="A291" s="5" t="s">
        <f>=HYPERLINK("https://www.leilaoonline.net/lote/detalhe/153169", "17332")</f>
      </c>
      <c r="B291" s="4" t="s">
        <f>=HYPERLINK("https://www.leilaoonline.net/lote/detalhe/153169", " Car.Fardo de Palha M12010, ANO 2015. - FR.48311. - LOC. IPAUSSU/SP")</f>
      </c>
      <c r="C291" s="4" t="inlineStr">
        <is>
          <t>Não vendido</t>
        </is>
      </c>
      <c r="D291" s="4" t="inlineStr">
        <is>
          <t>37</t>
        </is>
      </c>
      <c r="E291" s="5" t="inlineStr">
        <is>
          <t>18.500,00</t>
        </is>
      </c>
      <c r="F291" s="4" t="inlineStr">
        <is>
          <t>500.00</t>
        </is>
      </c>
    </row>
    <row collapsed="false" customFormat="false" customHeight="false" hidden="false" ht="12.1" outlineLevel="0" r="292">
      <c r="A292" s="5" t="s">
        <f>=HYPERLINK("https://www.leilaoonline.net/lote/detalhe/153208", "17333")</f>
      </c>
      <c r="B292" s="4" t="s">
        <f>=HYPERLINK("https://www.leilaoonline.net/lote/detalhe/153208", " CAMINHÃO VOLKSWAGEM 26-220 EURO3 WORKER 6x4 Carroceria Tanque, ANO 2010/2010, BRANCO. - FR.43010/FR42409. - LOC. IPAUSSU/SP ")</f>
      </c>
      <c r="C292" s="4" t="inlineStr">
        <is>
          <t>Vendido</t>
        </is>
      </c>
      <c r="D292" s="4" t="inlineStr">
        <is>
          <t>99</t>
        </is>
      </c>
      <c r="E292" s="5" t="inlineStr">
        <is>
          <t>154.000,00</t>
        </is>
      </c>
      <c r="F292" s="4" t="inlineStr">
        <is>
          <t>1000.00</t>
        </is>
      </c>
    </row>
    <row collapsed="false" customFormat="false" customHeight="false" hidden="false" ht="12.1" outlineLevel="0" r="293">
      <c r="A293" s="5" t="s">
        <f>=HYPERLINK("https://www.leilaoonline.net/lote/detalhe/153193", "17334")</f>
      </c>
      <c r="B293" s="4" t="s">
        <f>=HYPERLINK("https://www.leilaoonline.net/lote/detalhe/153193", " Estrutura Pulverizador, 5 Tanques e Mantas de Vinhaça, ANO 2018. - FR.48282. - LOC. IPAUSSU/SP")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2.000,00</t>
        </is>
      </c>
      <c r="F293" s="4" t="inlineStr">
        <is>
          <t>250.00</t>
        </is>
      </c>
    </row>
    <row collapsed="false" customFormat="false" customHeight="false" hidden="false" ht="12.1" outlineLevel="0" r="294">
      <c r="A294" s="5" t="s">
        <f>=HYPERLINK("https://www.leilaoonline.net/lote/detalhe/153207", "17335")</f>
      </c>
      <c r="B294" s="4" t="s">
        <f>=HYPERLINK("https://www.leilaoonline.net/lote/detalhe/153207", "2 Desenleirador Palha Carderoli, ANO 2018. - FR.48283/84. - LOC. IPAUSSU/SP")</f>
      </c>
      <c r="C294" s="4" t="inlineStr">
        <is>
          <t>Não vendido</t>
        </is>
      </c>
      <c r="D294" s="4" t="inlineStr">
        <is>
          <t>2</t>
        </is>
      </c>
      <c r="E294" s="5" t="inlineStr">
        <is>
          <t>1.250,00</t>
        </is>
      </c>
      <c r="F294" s="4" t="inlineStr">
        <is>
          <t>250.00</t>
        </is>
      </c>
    </row>
    <row collapsed="false" customFormat="false" customHeight="false" hidden="false" ht="12.1" outlineLevel="0" r="295">
      <c r="A295" s="5" t="s">
        <f>=HYPERLINK("https://www.leilaoonline.net/lote/detalhe/153171", "17336")</f>
      </c>
      <c r="B295" s="4" t="s">
        <f>=HYPERLINK("https://www.leilaoonline.net/lote/detalhe/153171", " Transbordo ATA 12000 12T, ANO 2012. - FR.47071. - LOC. IPAUSSU/SP")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10.000,00</t>
        </is>
      </c>
      <c r="F295" s="4" t="inlineStr">
        <is>
          <t>1000.00</t>
        </is>
      </c>
    </row>
    <row collapsed="false" customFormat="false" customHeight="false" hidden="false" ht="12.1" outlineLevel="0" r="296">
      <c r="A296" s="5" t="s">
        <f>=HYPERLINK("https://www.leilaoonline.net/lote/detalhe/153184", "17337")</f>
      </c>
      <c r="B296" s="4" t="s">
        <f>=HYPERLINK("https://www.leilaoonline.net/lote/detalhe/153184", " Transbordo ATA 12000 12T, ANO 2012. - FR.47064. - LOC. IPAUSSU/SP")</f>
      </c>
      <c r="C296" s="4" t="inlineStr">
        <is>
          <t>Não vendido</t>
        </is>
      </c>
      <c r="D296" s="4" t="inlineStr">
        <is>
          <t>1</t>
        </is>
      </c>
      <c r="E296" s="5" t="inlineStr">
        <is>
          <t>10.000,00</t>
        </is>
      </c>
      <c r="F296" s="4" t="inlineStr">
        <is>
          <t>1000.00</t>
        </is>
      </c>
    </row>
    <row collapsed="false" customFormat="false" customHeight="false" hidden="false" ht="12.1" outlineLevel="0" r="297">
      <c r="A297" s="5" t="s">
        <f>=HYPERLINK("https://www.leilaoonline.net/lote/detalhe/153186", "17338")</f>
      </c>
      <c r="B297" s="4" t="s">
        <f>=HYPERLINK("https://www.leilaoonline.net/lote/detalhe/153186", " Transbordo ATA 12T, ANO 2013. - FR.47086. - LOC. IPAUSSU/SP")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10.000,00</t>
        </is>
      </c>
      <c r="F297" s="4" t="inlineStr">
        <is>
          <t>1000.00</t>
        </is>
      </c>
    </row>
    <row collapsed="false" customFormat="false" customHeight="false" hidden="false" ht="12.1" outlineLevel="0" r="298">
      <c r="A298" s="5" t="s">
        <f>=HYPERLINK("https://www.leilaoonline.net/lote/detalhe/153168", "17339")</f>
      </c>
      <c r="B298" s="4" t="s">
        <f>=HYPERLINK("https://www.leilaoonline.net/lote/detalhe/153168", " SEMI - Reboque  Randon SRCA CA 12,50 M, ANO 2013/2014, CINZA. - FR.82726. - LOC. IPAUSSU/SP")</f>
      </c>
      <c r="C298" s="4" t="inlineStr">
        <is>
          <t>Vendido</t>
        </is>
      </c>
      <c r="D298" s="4" t="inlineStr">
        <is>
          <t>21</t>
        </is>
      </c>
      <c r="E298" s="5" t="inlineStr">
        <is>
          <t>32.000,00</t>
        </is>
      </c>
      <c r="F298" s="4" t="inlineStr">
        <is>
          <t>1000.00</t>
        </is>
      </c>
    </row>
    <row collapsed="false" customFormat="false" customHeight="false" hidden="false" ht="12.1" outlineLevel="0" r="299">
      <c r="A299" s="5" t="s">
        <f>=HYPERLINK("https://www.leilaoonline.net/lote/detalhe/153172", "17340")</f>
      </c>
      <c r="B299" s="4" t="s">
        <f>=HYPERLINK("https://www.leilaoonline.net/lote/detalhe/153172", " SEMI - Reboque  Randon SRCA CA 12,50 M, ANO 2012/2013, CINZA. - FR.82713. - LOC. IPAUSSU/SP")</f>
      </c>
      <c r="C299" s="4" t="inlineStr">
        <is>
          <t>Vendido</t>
        </is>
      </c>
      <c r="D299" s="4" t="inlineStr">
        <is>
          <t>19</t>
        </is>
      </c>
      <c r="E299" s="5" t="inlineStr">
        <is>
          <t>30.000,00</t>
        </is>
      </c>
      <c r="F299" s="4" t="inlineStr">
        <is>
          <t>1000.00</t>
        </is>
      </c>
    </row>
    <row collapsed="false" customFormat="false" customHeight="false" hidden="false" ht="12.1" outlineLevel="0" r="300">
      <c r="A300" s="5" t="s">
        <f>=HYPERLINK("https://www.leilaoonline.net/lote/detalhe/153181", "17341")</f>
      </c>
      <c r="B300" s="4" t="s">
        <f>=HYPERLINK("https://www.leilaoonline.net/lote/detalhe/153181", " SEMI - Reboque  Randon SRCA CA 12,50 M, ANO 2013/2014, CINZA. - FR.46975. - LOC. IPAUSSU/SP")</f>
      </c>
      <c r="C300" s="4" t="inlineStr">
        <is>
          <t>Vendido</t>
        </is>
      </c>
      <c r="D300" s="4" t="inlineStr">
        <is>
          <t>21</t>
        </is>
      </c>
      <c r="E300" s="5" t="inlineStr">
        <is>
          <t>31.000,00</t>
        </is>
      </c>
      <c r="F300" s="4" t="inlineStr">
        <is>
          <t>1000.00</t>
        </is>
      </c>
    </row>
    <row collapsed="false" customFormat="false" customHeight="false" hidden="false" ht="12.1" outlineLevel="0" r="301">
      <c r="A301" s="5" t="s">
        <f>=HYPERLINK("https://www.leilaoonline.net/lote/detalhe/153188", "17342")</f>
      </c>
      <c r="B301" s="4" t="s">
        <f>=HYPERLINK("https://www.leilaoonline.net/lote/detalhe/153188", " SEMI - Reboque  Randon SRCA CA 12,50 M, ANO 2012/2012, AZUL. - FR.46946. - LOC. IPAUSSU/SP")</f>
      </c>
      <c r="C301" s="4" t="inlineStr">
        <is>
          <t>Vendido</t>
        </is>
      </c>
      <c r="D301" s="4" t="inlineStr">
        <is>
          <t>13</t>
        </is>
      </c>
      <c r="E301" s="5" t="inlineStr">
        <is>
          <t>22.000,00</t>
        </is>
      </c>
      <c r="F301" s="4" t="inlineStr">
        <is>
          <t>1000.00</t>
        </is>
      </c>
    </row>
    <row collapsed="false" customFormat="false" customHeight="false" hidden="false" ht="12.1" outlineLevel="0" r="302">
      <c r="A302" s="5" t="s">
        <f>=HYPERLINK("https://www.leilaoonline.net/lote/detalhe/153194", "17343")</f>
      </c>
      <c r="B302" s="4" t="s">
        <f>=HYPERLINK("https://www.leilaoonline.net/lote/detalhe/153194", " SEMI - Reboque  Randon SRCA CA 12,50 M, ANO 2012/2012, AZUL. - FR.46921. - LOC. IPAUSSU/SP")</f>
      </c>
      <c r="C302" s="4" t="inlineStr">
        <is>
          <t>Não vendido</t>
        </is>
      </c>
      <c r="D302" s="4" t="inlineStr">
        <is>
          <t>4</t>
        </is>
      </c>
      <c r="E302" s="5" t="inlineStr">
        <is>
          <t>18.000,00</t>
        </is>
      </c>
      <c r="F302" s="4" t="inlineStr">
        <is>
          <t>1000.00</t>
        </is>
      </c>
    </row>
    <row collapsed="false" customFormat="false" customHeight="false" hidden="false" ht="12.1" outlineLevel="0" r="303">
      <c r="A303" s="5" t="s">
        <f>=HYPERLINK("https://www.leilaoonline.net/lote/detalhe/153191", "17344")</f>
      </c>
      <c r="B303" s="4" t="s">
        <f>=HYPERLINK("https://www.leilaoonline.net/lote/detalhe/153191", " SEMI - Reboque  Randon SRCA CA 12,50 M, ANO 2012/2013, CINZA. - FR.70815. - LOC. IPAUSSU/SP")</f>
      </c>
      <c r="C303" s="4" t="inlineStr">
        <is>
          <t>Não vendido</t>
        </is>
      </c>
      <c r="D303" s="4" t="inlineStr">
        <is>
          <t>5</t>
        </is>
      </c>
      <c r="E303" s="5" t="inlineStr">
        <is>
          <t>18.000,00</t>
        </is>
      </c>
      <c r="F303" s="4" t="inlineStr">
        <is>
          <t>1000.00</t>
        </is>
      </c>
    </row>
    <row collapsed="false" customFormat="false" customHeight="false" hidden="false" ht="12.1" outlineLevel="0" r="304">
      <c r="A304" s="5" t="s">
        <f>=HYPERLINK("https://www.leilaoonline.net/lote/detalhe/153202", "17345")</f>
      </c>
      <c r="B304" s="4" t="s">
        <f>=HYPERLINK("https://www.leilaoonline.net/lote/detalhe/153202", " SEMI - Reboque Usicamp SRCP E2 10000, 12,50 M, ANO 2008/2008, AZUL. - FR.46858. - LOC. IPAUSSU/SP")</f>
      </c>
      <c r="C304" s="4" t="inlineStr">
        <is>
          <t>Não vendido</t>
        </is>
      </c>
      <c r="D304" s="4" t="inlineStr">
        <is>
          <t>3</t>
        </is>
      </c>
      <c r="E304" s="5" t="inlineStr">
        <is>
          <t>12.000,00</t>
        </is>
      </c>
      <c r="F304" s="4" t="inlineStr">
        <is>
          <t>1000.00</t>
        </is>
      </c>
    </row>
    <row collapsed="false" customFormat="false" customHeight="false" hidden="false" ht="12.1" outlineLevel="0" r="305">
      <c r="A305" s="5" t="s">
        <f>=HYPERLINK("https://www.leilaoonline.net/lote/detalhe/153185", "17346")</f>
      </c>
      <c r="B305" s="4" t="s">
        <f>=HYPERLINK("https://www.leilaoonline.net/lote/detalhe/153185", " Reboque  Randon RQ CA 12,50 M, ANO 2012/2013, CINZA. - FR.46961. - LOC. IPAUSSU/SP ")</f>
      </c>
      <c r="C305" s="4" t="inlineStr">
        <is>
          <t>Não vendido</t>
        </is>
      </c>
      <c r="D305" s="4" t="inlineStr">
        <is>
          <t>7</t>
        </is>
      </c>
      <c r="E305" s="5" t="inlineStr">
        <is>
          <t>22.000,00</t>
        </is>
      </c>
      <c r="F305" s="4" t="inlineStr">
        <is>
          <t>1000.00</t>
        </is>
      </c>
    </row>
    <row collapsed="false" customFormat="false" customHeight="false" hidden="false" ht="12.1" outlineLevel="0" r="306">
      <c r="A306" s="5" t="s">
        <f>=HYPERLINK("https://www.leilaoonline.net/lote/detalhe/153192", "17347")</f>
      </c>
      <c r="B306" s="4" t="s">
        <f>=HYPERLINK("https://www.leilaoonline.net/lote/detalhe/153192", " Reboque  Randon RQ CA 12,50 M, ANO 2012/2013, CINZA. - FR.70838. - LOC. IPAUSSU/SP ")</f>
      </c>
      <c r="C306" s="4" t="inlineStr">
        <is>
          <t>Não vendido</t>
        </is>
      </c>
      <c r="D306" s="4" t="inlineStr">
        <is>
          <t>8</t>
        </is>
      </c>
      <c r="E306" s="5" t="inlineStr">
        <is>
          <t>22.000,00</t>
        </is>
      </c>
      <c r="F306" s="4" t="inlineStr">
        <is>
          <t>1000.00</t>
        </is>
      </c>
    </row>
    <row collapsed="false" customFormat="false" customHeight="false" hidden="false" ht="12.1" outlineLevel="0" r="307">
      <c r="A307" s="5" t="s">
        <f>=HYPERLINK("https://www.leilaoonline.net/lote/detalhe/153174", "17348")</f>
      </c>
      <c r="B307" s="4" t="s">
        <f>=HYPERLINK("https://www.leilaoonline.net/lote/detalhe/153174", "Reboque  Randon RQ CA 12,50 M, ANO 2010/2010, AZUL. -FR.46870. ( SINISTRO/RECUPERADO)  - LOC. IPAUSSU/SP ")</f>
      </c>
      <c r="C307" s="4" t="inlineStr">
        <is>
          <t>Não vendido</t>
        </is>
      </c>
      <c r="D307" s="4" t="inlineStr">
        <is>
          <t>5</t>
        </is>
      </c>
      <c r="E307" s="5" t="inlineStr">
        <is>
          <t>19.000,00</t>
        </is>
      </c>
      <c r="F307" s="4" t="inlineStr">
        <is>
          <t>1000.00</t>
        </is>
      </c>
    </row>
    <row collapsed="false" customFormat="false" customHeight="false" hidden="false" ht="12.1" outlineLevel="0" r="308">
      <c r="A308" s="5" t="s">
        <f>=HYPERLINK("https://www.leilaoonline.net/lote/detalhe/153203", "17349")</f>
      </c>
      <c r="B308" s="4" t="s">
        <f>=HYPERLINK("https://www.leilaoonline.net/lote/detalhe/153203", " Reboque  Randon RQ CA 12,50 M, ANO 2012/2012, AZUL. - FR.46928.( SINISTRADO MÉDIA MONTA)  - LOC. IPAUSSU/SP ")</f>
      </c>
      <c r="C308" s="4" t="inlineStr">
        <is>
          <t>Vendido</t>
        </is>
      </c>
      <c r="D308" s="4" t="inlineStr">
        <is>
          <t>24</t>
        </is>
      </c>
      <c r="E308" s="5" t="inlineStr">
        <is>
          <t>38.000,00</t>
        </is>
      </c>
      <c r="F308" s="4" t="inlineStr">
        <is>
          <t>1000.00</t>
        </is>
      </c>
    </row>
    <row collapsed="false" customFormat="false" customHeight="false" hidden="false" ht="12.1" outlineLevel="0" r="309">
      <c r="A309" s="5" t="s">
        <f>=HYPERLINK("https://www.leilaoonline.net/lote/detalhe/153209", "17350")</f>
      </c>
      <c r="B309" s="4" t="s">
        <f>=HYPERLINK("https://www.leilaoonline.net/lote/detalhe/153209", " Reboque  Randon RQ CA 12,50 M, ANO 2010/2010, AZUL. - FR.46891. ( SINISTRADO/RECUPERADO)  - LOC. IPAUSSU/SP ")</f>
      </c>
      <c r="C309" s="4" t="inlineStr">
        <is>
          <t>Não vendido</t>
        </is>
      </c>
      <c r="D309" s="4" t="inlineStr">
        <is>
          <t>3</t>
        </is>
      </c>
      <c r="E309" s="5" t="inlineStr">
        <is>
          <t>17.000,00</t>
        </is>
      </c>
      <c r="F309" s="4" t="inlineStr">
        <is>
          <t>1000.00</t>
        </is>
      </c>
    </row>
    <row collapsed="false" customFormat="false" customHeight="false" hidden="false" ht="12.1" outlineLevel="0" r="310">
      <c r="A310" s="5" t="s">
        <f>=HYPERLINK("https://www.leilaoonline.net/lote/detalhe/153205", "17351")</f>
      </c>
      <c r="B310" s="4" t="s">
        <f>=HYPERLINK("https://www.leilaoonline.net/lote/detalhe/153205", " Reboque  Randon RQ CA 12,50 M, ANO 2012/2013, AZUL. - FR.82684. - LOC. IPAUSSU/SP ")</f>
      </c>
      <c r="C310" s="4" t="inlineStr">
        <is>
          <t>Vendido</t>
        </is>
      </c>
      <c r="D310" s="4" t="inlineStr">
        <is>
          <t>31</t>
        </is>
      </c>
      <c r="E310" s="5" t="inlineStr">
        <is>
          <t>45.000,00</t>
        </is>
      </c>
      <c r="F310" s="4" t="inlineStr">
        <is>
          <t>1000.00</t>
        </is>
      </c>
    </row>
    <row collapsed="false" customFormat="false" customHeight="false" hidden="false" ht="12.1" outlineLevel="0" r="311">
      <c r="A311" s="5" t="s">
        <f>=HYPERLINK("https://www.leilaoonline.net/lote/detalhe/153477", "18013")</f>
      </c>
      <c r="B311" s="4" t="s">
        <f>=HYPERLINK("https://www.leilaoonline.net/lote/detalhe/153477", " CARRETA ABRIGO FAB.PRÓPRIA, ANO 2009 , FR164371, LOC. JATAI 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3.500,00</t>
        </is>
      </c>
      <c r="F311" s="4" t="inlineStr">
        <is>
          <t>500.00</t>
        </is>
      </c>
    </row>
    <row collapsed="false" customFormat="false" customHeight="false" hidden="false" ht="12.1" outlineLevel="0" r="312">
      <c r="A312" s="5" t="s">
        <f>=HYPERLINK("https://www.leilaoonline.net/lote/detalhe/153472", "18014")</f>
      </c>
      <c r="B312" s="4" t="s">
        <f>=HYPERLINK("https://www.leilaoonline.net/lote/detalhe/153472", " CARRETA ABRIGO FAB.PRÓPRIA, ANO 2009 , FR164372, LOC. JATAI 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3.500,00</t>
        </is>
      </c>
      <c r="F312" s="4" t="inlineStr">
        <is>
          <t>500.00</t>
        </is>
      </c>
    </row>
    <row collapsed="false" customFormat="false" customHeight="false" hidden="false" ht="12.1" outlineLevel="0" r="313">
      <c r="A313" s="5" t="s">
        <f>=HYPERLINK("https://www.leilaoonline.net/lote/detalhe/153471", "18015")</f>
      </c>
      <c r="B313" s="4" t="s">
        <f>=HYPERLINK("https://www.leilaoonline.net/lote/detalhe/153471", " CARRETA ABRIGO FAB.PRÓPRIA, ANO 2009, FR164376, LOC. JATAI 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3.500,00</t>
        </is>
      </c>
      <c r="F313" s="4" t="inlineStr">
        <is>
          <t>500.00</t>
        </is>
      </c>
    </row>
    <row collapsed="false" customFormat="false" customHeight="false" hidden="false" ht="12.1" outlineLevel="0" r="314">
      <c r="A314" s="5" t="s">
        <f>=HYPERLINK("https://www.leilaoonline.net/lote/detalhe/153506", "18021")</f>
      </c>
      <c r="B314" s="4" t="s">
        <f>=HYPERLINK("https://www.leilaoonline.net/lote/detalhe/153506", " PLANT.CANA AUTOMÁTICA DMB, ANO 2010, FR91550, LOC.JATAI ")</f>
      </c>
      <c r="C314" s="4" t="inlineStr">
        <is>
          <t>Vendido</t>
        </is>
      </c>
      <c r="D314" s="4" t="inlineStr">
        <is>
          <t>1</t>
        </is>
      </c>
      <c r="E314" s="5" t="inlineStr">
        <is>
          <t>10.000,00</t>
        </is>
      </c>
      <c r="F314" s="4" t="inlineStr">
        <is>
          <t>500.00</t>
        </is>
      </c>
    </row>
    <row collapsed="false" customFormat="false" customHeight="false" hidden="false" ht="12.1" outlineLevel="0" r="315">
      <c r="A315" s="5" t="s">
        <f>=HYPERLINK("https://www.leilaoonline.net/lote/detalhe/153470", "18083")</f>
      </c>
      <c r="B315" s="4" t="s">
        <f>=HYPERLINK("https://www.leilaoonline.net/lote/detalhe/153470", " CARRETA ABRIGO FAB.PRÓPRIA, ANO 2013, FR164396, LOC. JATAI ")</f>
      </c>
      <c r="C315" s="4" t="inlineStr">
        <is>
          <t>Vendido</t>
        </is>
      </c>
      <c r="D315" s="4" t="inlineStr">
        <is>
          <t>4</t>
        </is>
      </c>
      <c r="E315" s="5" t="inlineStr">
        <is>
          <t>5.000,00</t>
        </is>
      </c>
      <c r="F315" s="4" t="inlineStr">
        <is>
          <t>500.00</t>
        </is>
      </c>
    </row>
    <row collapsed="false" customFormat="false" customHeight="false" hidden="false" ht="12.1" outlineLevel="0" r="316">
      <c r="A316" s="5" t="s">
        <f>=HYPERLINK("https://www.leilaoonline.net/lote/detalhe/153478", "18084")</f>
      </c>
      <c r="B316" s="4" t="s">
        <f>=HYPERLINK("https://www.leilaoonline.net/lote/detalhe/153478", " CARRETA ABRIGO FAB.PRÓPRIA, ANO 2013, FR164392,  LOC. JATAI ")</f>
      </c>
      <c r="C316" s="4" t="inlineStr">
        <is>
          <t>Vendido</t>
        </is>
      </c>
      <c r="D316" s="4" t="inlineStr">
        <is>
          <t>2</t>
        </is>
      </c>
      <c r="E316" s="5" t="inlineStr">
        <is>
          <t>3.250,00</t>
        </is>
      </c>
      <c r="F316" s="4" t="inlineStr">
        <is>
          <t>250.00</t>
        </is>
      </c>
    </row>
    <row collapsed="false" customFormat="false" customHeight="false" hidden="false" ht="12.1" outlineLevel="0" r="317">
      <c r="A317" s="5" t="s">
        <f>=HYPERLINK("https://www.leilaoonline.net/lote/detalhe/153473", "18111")</f>
      </c>
      <c r="B317" s="4" t="s">
        <f>=HYPERLINK("https://www.leilaoonline.net/lote/detalhe/153473", "SUCATA CAMINHÃO VW. 26-280 CRM 6X4, ANO 2013, FR163201, ( SEM DIREITO A DOCUMENTO )  LOC. JATAI")</f>
      </c>
      <c r="C317" s="4" t="inlineStr">
        <is>
          <t>Não vendido</t>
        </is>
      </c>
      <c r="D317" s="4" t="inlineStr">
        <is>
          <t>3</t>
        </is>
      </c>
      <c r="E317" s="5" t="inlineStr">
        <is>
          <t>6.000,00</t>
        </is>
      </c>
      <c r="F317" s="4" t="inlineStr">
        <is>
          <t>500.00</t>
        </is>
      </c>
    </row>
    <row collapsed="false" customFormat="false" customHeight="false" hidden="false" ht="12.1" outlineLevel="0" r="318">
      <c r="A318" s="5" t="s">
        <f>=HYPERLINK("https://www.leilaoonline.net/lote/detalhe/153313", "18112")</f>
      </c>
      <c r="B318" s="4" t="s">
        <f>=HYPERLINK("https://www.leilaoonline.net/lote/detalhe/153313", " REBOQUE SOUFER CA 4E, ANO 2012/2012, CINZA, FR164401, LOC. JATAI 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35.000,00</t>
        </is>
      </c>
      <c r="F318" s="4" t="inlineStr">
        <is>
          <t>1000.00</t>
        </is>
      </c>
    </row>
    <row collapsed="false" customFormat="false" customHeight="false" hidden="false" ht="12.1" outlineLevel="0" r="319">
      <c r="A319" s="5" t="s">
        <f>=HYPERLINK("https://www.leilaoonline.net/lote/detalhe/153533", "18113")</f>
      </c>
      <c r="B319" s="4" t="s">
        <f>=HYPERLINK("https://www.leilaoonline.net/lote/detalhe/153533", "SUCATA DE RODAS, S/FR, LOC. JATAI ")</f>
      </c>
      <c r="C319" s="4" t="inlineStr">
        <is>
          <t>Não vendido</t>
        </is>
      </c>
      <c r="D319" s="4" t="inlineStr">
        <is>
          <t>3</t>
        </is>
      </c>
      <c r="E319" s="5" t="inlineStr">
        <is>
          <t>3.500,00</t>
        </is>
      </c>
      <c r="F319" s="4" t="inlineStr">
        <is>
          <t>250.00</t>
        </is>
      </c>
    </row>
    <row collapsed="false" customFormat="false" customHeight="false" hidden="false" ht="12.1" outlineLevel="0" r="320">
      <c r="A320" s="5" t="s">
        <f>=HYPERLINK("https://www.leilaoonline.net/lote/detalhe/153341", "18115")</f>
      </c>
      <c r="B320" s="4" t="s">
        <f>=HYPERLINK("https://www.leilaoonline.net/lote/detalhe/153341", " CARRETINHA TANQUE DE ACO CARBONO CAPAC 5000L, PLAQ.228659/228660, LOC. JATAI ")</f>
      </c>
      <c r="C320" s="4" t="inlineStr">
        <is>
          <t>Não vendido</t>
        </is>
      </c>
      <c r="D320" s="4" t="inlineStr">
        <is>
          <t>16</t>
        </is>
      </c>
      <c r="E320" s="5" t="inlineStr">
        <is>
          <t>6.750,00</t>
        </is>
      </c>
      <c r="F320" s="4" t="inlineStr">
        <is>
          <t>250.00</t>
        </is>
      </c>
    </row>
    <row collapsed="false" customFormat="false" customHeight="false" hidden="false" ht="12.1" outlineLevel="0" r="321">
      <c r="A321" s="5" t="s">
        <f>=HYPERLINK("https://www.leilaoonline.net/lote/detalhe/153507", "18116")</f>
      </c>
      <c r="B321" s="4" t="s">
        <f>=HYPERLINK("https://www.leilaoonline.net/lote/detalhe/153507", " TRANS. STA ISABEL TCS 12T, ANO 2010, FR164309, LOC. JATAI ")</f>
      </c>
      <c r="C321" s="4" t="inlineStr">
        <is>
          <t>Não vendido</t>
        </is>
      </c>
      <c r="D321" s="4" t="inlineStr">
        <is>
          <t>1</t>
        </is>
      </c>
      <c r="E321" s="5" t="inlineStr">
        <is>
          <t>5.000,00</t>
        </is>
      </c>
      <c r="F321" s="4" t="inlineStr">
        <is>
          <t>500.00</t>
        </is>
      </c>
    </row>
    <row collapsed="false" customFormat="false" customHeight="false" hidden="false" ht="12.1" outlineLevel="0" r="322">
      <c r="A322" s="5" t="s">
        <f>=HYPERLINK("https://www.leilaoonline.net/lote/detalhe/153504", "18117")</f>
      </c>
      <c r="B322" s="4" t="s">
        <f>=HYPERLINK("https://www.leilaoonline.net/lote/detalhe/153504", " TRANS. STA ISABEL TCS 12T, ANO 2011, FR164341, LOC. JATAI ")</f>
      </c>
      <c r="C322" s="4" t="inlineStr">
        <is>
          <t>Não vendido</t>
        </is>
      </c>
      <c r="D322" s="4" t="inlineStr">
        <is>
          <t>1</t>
        </is>
      </c>
      <c r="E322" s="5" t="inlineStr">
        <is>
          <t>5.000,00</t>
        </is>
      </c>
      <c r="F322" s="4" t="inlineStr">
        <is>
          <t>500.00</t>
        </is>
      </c>
    </row>
    <row collapsed="false" customFormat="false" customHeight="false" hidden="false" ht="12.1" outlineLevel="0" r="323">
      <c r="A323" s="5" t="s">
        <f>=HYPERLINK("https://www.leilaoonline.net/lote/detalhe/153501", "18118")</f>
      </c>
      <c r="B323" s="4" t="s">
        <f>=HYPERLINK("https://www.leilaoonline.net/lote/detalhe/153501", " TRANS. STA ISABEL TCS 12T, ANO 2010, FR164302, LOC. JATAI ")</f>
      </c>
      <c r="C323" s="4" t="inlineStr">
        <is>
          <t>Não vendido</t>
        </is>
      </c>
      <c r="D323" s="4" t="inlineStr">
        <is>
          <t>1</t>
        </is>
      </c>
      <c r="E323" s="5" t="inlineStr">
        <is>
          <t>5.000,00</t>
        </is>
      </c>
      <c r="F323" s="4" t="inlineStr">
        <is>
          <t>500.00</t>
        </is>
      </c>
    </row>
    <row collapsed="false" customFormat="false" customHeight="false" hidden="false" ht="12.1" outlineLevel="0" r="324">
      <c r="A324" s="5" t="s">
        <f>=HYPERLINK("https://www.leilaoonline.net/lote/detalhe/153503", "18119")</f>
      </c>
      <c r="B324" s="4" t="s">
        <f>=HYPERLINK("https://www.leilaoonline.net/lote/detalhe/153503", " TRANS. STA ISABEL TCS 12T, ANO 2010, FR68030, LOC.JATAI ")</f>
      </c>
      <c r="C324" s="4" t="inlineStr">
        <is>
          <t>Não vendido</t>
        </is>
      </c>
      <c r="D324" s="4" t="inlineStr">
        <is>
          <t>1</t>
        </is>
      </c>
      <c r="E324" s="5" t="inlineStr">
        <is>
          <t>5.000,00</t>
        </is>
      </c>
      <c r="F324" s="4" t="inlineStr">
        <is>
          <t>500.00</t>
        </is>
      </c>
    </row>
    <row collapsed="false" customFormat="false" customHeight="false" hidden="false" ht="12.1" outlineLevel="0" r="325">
      <c r="A325" s="5" t="s">
        <f>=HYPERLINK("https://www.leilaoonline.net/lote/detalhe/153505", "18120")</f>
      </c>
      <c r="B325" s="4" t="s">
        <f>=HYPERLINK("https://www.leilaoonline.net/lote/detalhe/153505", " TRANS. STA ISABEL TCS 12T, ANO 2010, FR38347, LOC.JATAI ")</f>
      </c>
      <c r="C325" s="4" t="inlineStr">
        <is>
          <t>Não vendido</t>
        </is>
      </c>
      <c r="D325" s="4" t="inlineStr">
        <is>
          <t>1</t>
        </is>
      </c>
      <c r="E325" s="5" t="inlineStr">
        <is>
          <t>5.000,00</t>
        </is>
      </c>
      <c r="F325" s="4" t="inlineStr">
        <is>
          <t>500.00</t>
        </is>
      </c>
    </row>
    <row collapsed="false" customFormat="false" customHeight="false" hidden="false" ht="12.1" outlineLevel="0" r="326">
      <c r="A326" s="5" t="s">
        <f>=HYPERLINK("https://www.leilaoonline.net/lote/detalhe/153502", "18121")</f>
      </c>
      <c r="B326" s="4" t="s">
        <f>=HYPERLINK("https://www.leilaoonline.net/lote/detalhe/153502", " TRANS. STA ISABEL TCS 12T, ANO 2011, FR164346, LOC. JATAI ")</f>
      </c>
      <c r="C326" s="4" t="inlineStr">
        <is>
          <t>Não vendido</t>
        </is>
      </c>
      <c r="D326" s="4" t="inlineStr">
        <is>
          <t>1</t>
        </is>
      </c>
      <c r="E326" s="5" t="inlineStr">
        <is>
          <t>5.000,00</t>
        </is>
      </c>
      <c r="F326" s="4" t="inlineStr">
        <is>
          <t>500.00</t>
        </is>
      </c>
    </row>
    <row collapsed="false" customFormat="false" customHeight="false" hidden="false" ht="12.1" outlineLevel="0" r="327">
      <c r="A327" s="5" t="s">
        <f>=HYPERLINK("https://www.leilaoonline.net/lote/detalhe/153475", "18122")</f>
      </c>
      <c r="B327" s="4" t="s">
        <f>=HYPERLINK("https://www.leilaoonline.net/lote/detalhe/153475", "CAMINHÃO VW. 26-280 CRM 6X4, ANO 2012, FR163202, LOC. JATAI")</f>
      </c>
      <c r="C327" s="4" t="inlineStr">
        <is>
          <t>Não vendido</t>
        </is>
      </c>
      <c r="D327" s="4" t="inlineStr">
        <is>
          <t>91</t>
        </is>
      </c>
      <c r="E327" s="5" t="inlineStr">
        <is>
          <t>138.000,00</t>
        </is>
      </c>
      <c r="F327" s="4" t="inlineStr">
        <is>
          <t>1000.00</t>
        </is>
      </c>
    </row>
    <row collapsed="false" customFormat="false" customHeight="false" hidden="false" ht="12.1" outlineLevel="0" r="328">
      <c r="A328" s="5" t="s">
        <f>=HYPERLINK("https://www.leilaoonline.net/lote/detalhe/153479", "18124")</f>
      </c>
      <c r="B328" s="4" t="s">
        <f>=HYPERLINK("https://www.leilaoonline.net/lote/detalhe/153479", "CAMINHÃO VW. 15-180 WORKER, ANO 2008, FR163118, LOC. JATAI")</f>
      </c>
      <c r="C328" s="4" t="inlineStr">
        <is>
          <t>Não vendido</t>
        </is>
      </c>
      <c r="D328" s="4" t="inlineStr">
        <is>
          <t>6</t>
        </is>
      </c>
      <c r="E328" s="5" t="inlineStr">
        <is>
          <t>30.000,00</t>
        </is>
      </c>
      <c r="F328" s="4" t="inlineStr">
        <is>
          <t>1000.00</t>
        </is>
      </c>
    </row>
    <row collapsed="false" customFormat="false" customHeight="false" hidden="false" ht="12.1" outlineLevel="0" r="329">
      <c r="A329" s="5" t="s">
        <f>=HYPERLINK("https://www.leilaoonline.net/lote/detalhe/153235", "18125")</f>
      </c>
      <c r="B329" s="4" t="s">
        <f>=HYPERLINK("https://www.leilaoonline.net/lote/detalhe/153235", " REBOQUE SOUFER CA 4E, ANO 2012/2012, CINZA, FR164181, LOC. JATAI ")</f>
      </c>
      <c r="C329" s="4" t="inlineStr">
        <is>
          <t>Não vendido</t>
        </is>
      </c>
      <c r="D329" s="4" t="inlineStr">
        <is>
          <t>0</t>
        </is>
      </c>
      <c r="E329" s="5" t="inlineStr">
        <is>
          <t>35.000,00</t>
        </is>
      </c>
      <c r="F329" s="4" t="inlineStr">
        <is>
          <t>1000.00</t>
        </is>
      </c>
    </row>
    <row collapsed="false" customFormat="false" customHeight="false" hidden="false" ht="12.1" outlineLevel="0" r="330">
      <c r="A330" s="5" t="s">
        <f>=HYPERLINK("https://www.leilaoonline.net/lote/detalhe/153308", "18126")</f>
      </c>
      <c r="B330" s="4" t="s">
        <f>=HYPERLINK("https://www.leilaoonline.net/lote/detalhe/153308", " REBOQUE SOUFER CA 4E, ANO 2012/2012, CINZA, FR164431, LOC. JATAI ")</f>
      </c>
      <c r="C330" s="4" t="inlineStr">
        <is>
          <t>Não vendido</t>
        </is>
      </c>
      <c r="D330" s="4" t="inlineStr">
        <is>
          <t>0</t>
        </is>
      </c>
      <c r="E330" s="5" t="inlineStr">
        <is>
          <t>35.000,00</t>
        </is>
      </c>
      <c r="F330" s="4" t="inlineStr">
        <is>
          <t>1000.00</t>
        </is>
      </c>
    </row>
    <row collapsed="false" customFormat="false" customHeight="false" hidden="false" ht="12.1" outlineLevel="0" r="331">
      <c r="A331" s="5" t="s">
        <f>=HYPERLINK("https://www.leilaoonline.net/lote/detalhe/153302", "18127")</f>
      </c>
      <c r="B331" s="4" t="s">
        <f>=HYPERLINK("https://www.leilaoonline.net/lote/detalhe/153302", " S.REBOQUE RANDON SRCA CA, ANO 2012/2012, AZUL , FR10914,  (VENDA SEM SAPATA HIDRÁULICA), LOC. JATAI ")</f>
      </c>
      <c r="C331" s="4" t="inlineStr">
        <is>
          <t>Não vendido</t>
        </is>
      </c>
      <c r="D331" s="4" t="inlineStr">
        <is>
          <t>0</t>
        </is>
      </c>
      <c r="E331" s="5" t="inlineStr">
        <is>
          <t>35.000,00</t>
        </is>
      </c>
      <c r="F331" s="4" t="inlineStr">
        <is>
          <t>1000.00</t>
        </is>
      </c>
    </row>
    <row collapsed="false" customFormat="false" customHeight="false" hidden="false" ht="12.1" outlineLevel="0" r="332">
      <c r="A332" s="5" t="s">
        <f>=HYPERLINK("https://www.leilaoonline.net/lote/detalhe/153314", "18128")</f>
      </c>
      <c r="B332" s="4" t="s">
        <f>=HYPERLINK("https://www.leilaoonline.net/lote/detalhe/153314", " S.REBOQUE RANDON SRCA CA , ANO 2008/2008, AZUL, FR91186,  (VENDA SEM SAPATA HIDRÁULICA), LOC. JATAI ")</f>
      </c>
      <c r="C332" s="4" t="inlineStr">
        <is>
          <t>Não vendido</t>
        </is>
      </c>
      <c r="D332" s="4" t="inlineStr">
        <is>
          <t>0</t>
        </is>
      </c>
      <c r="E332" s="5" t="inlineStr">
        <is>
          <t>35.000,00</t>
        </is>
      </c>
      <c r="F332" s="4" t="inlineStr">
        <is>
          <t>1000.00</t>
        </is>
      </c>
    </row>
    <row collapsed="false" customFormat="false" customHeight="false" hidden="false" ht="12.1" outlineLevel="0" r="333">
      <c r="A333" s="5" t="s">
        <f>=HYPERLINK("https://www.leilaoonline.net/lote/detalhe/153317", "18129")</f>
      </c>
      <c r="B333" s="4" t="s">
        <f>=HYPERLINK("https://www.leilaoonline.net/lote/detalhe/153317", " REBOQUE RANDONSP RQ CA, ANO 2013/2014, CINZA, FR121609, LOC. JATAI ")</f>
      </c>
      <c r="C333" s="4" t="inlineStr">
        <is>
          <t>Não vendido</t>
        </is>
      </c>
      <c r="D333" s="4" t="inlineStr">
        <is>
          <t>0</t>
        </is>
      </c>
      <c r="E333" s="5" t="inlineStr">
        <is>
          <t>35.000,00</t>
        </is>
      </c>
      <c r="F333" s="4" t="inlineStr">
        <is>
          <t>1000.00</t>
        </is>
      </c>
    </row>
    <row collapsed="false" customFormat="false" customHeight="false" hidden="false" ht="12.1" outlineLevel="0" r="334">
      <c r="A334" s="5" t="s">
        <f>=HYPERLINK("https://www.leilaoonline.net/lote/detalhe/153333", "18130")</f>
      </c>
      <c r="B334" s="4" t="s">
        <f>=HYPERLINK("https://www.leilaoonline.net/lote/detalhe/153333", " S.REBOQUE RANDON SRCA CA, ANO 2008/2008, AZUL, FR96237, (VENDA SEM SAPATA HIDRÁULICA)LOC. JATAI ")</f>
      </c>
      <c r="C334" s="4" t="inlineStr">
        <is>
          <t>Não vendido</t>
        </is>
      </c>
      <c r="D334" s="4" t="inlineStr">
        <is>
          <t>0</t>
        </is>
      </c>
      <c r="E334" s="5" t="inlineStr">
        <is>
          <t>35.000,00</t>
        </is>
      </c>
      <c r="F334" s="4" t="inlineStr">
        <is>
          <t>1000.00</t>
        </is>
      </c>
    </row>
    <row collapsed="false" customFormat="false" customHeight="false" hidden="false" ht="12.1" outlineLevel="0" r="335">
      <c r="A335" s="5" t="s">
        <f>=HYPERLINK("https://www.leilaoonline.net/lote/detalhe/153342", "18131")</f>
      </c>
      <c r="B335" s="4" t="s">
        <f>=HYPERLINK("https://www.leilaoonline.net/lote/detalhe/153342", " REBOQUE SOUFER CA 4E, ANO 2012/2012, CINZA, FR164403, LOC. JATAI ")</f>
      </c>
      <c r="C335" s="4" t="inlineStr">
        <is>
          <t>Não vendido</t>
        </is>
      </c>
      <c r="D335" s="4" t="inlineStr">
        <is>
          <t>0</t>
        </is>
      </c>
      <c r="E335" s="5" t="inlineStr">
        <is>
          <t>35.000,00</t>
        </is>
      </c>
      <c r="F335" s="4" t="inlineStr">
        <is>
          <t>1000.00</t>
        </is>
      </c>
    </row>
    <row collapsed="false" customFormat="false" customHeight="false" hidden="false" ht="12.1" outlineLevel="0" r="336">
      <c r="A336" s="5" t="s">
        <f>=HYPERLINK("https://www.leilaoonline.net/lote/detalhe/153348", "18132")</f>
      </c>
      <c r="B336" s="4" t="s">
        <f>=HYPERLINK("https://www.leilaoonline.net/lote/detalhe/153348", " S.REBOQUE RANDONSP SRCA CA, ANO 2011/2011, AZUL, FR164133, LOC. JATAI ")</f>
      </c>
      <c r="C336" s="4" t="inlineStr">
        <is>
          <t>Não vendido</t>
        </is>
      </c>
      <c r="D336" s="4" t="inlineStr">
        <is>
          <t>0</t>
        </is>
      </c>
      <c r="E336" s="5" t="inlineStr">
        <is>
          <t>35.000,00</t>
        </is>
      </c>
      <c r="F336" s="4" t="inlineStr">
        <is>
          <t>1000.00</t>
        </is>
      </c>
    </row>
    <row collapsed="false" customFormat="false" customHeight="false" hidden="false" ht="12.1" outlineLevel="0" r="337">
      <c r="A337" s="5" t="s">
        <f>=HYPERLINK("https://www.leilaoonline.net/lote/detalhe/153476", "18133")</f>
      </c>
      <c r="B337" s="4" t="s">
        <f>=HYPERLINK("https://www.leilaoonline.net/lote/detalhe/153476", " VALTRA 205I 4X4 HIFLOW, ANO 2011, FR163462, LOC. JATAI ")</f>
      </c>
      <c r="C337" s="4" t="inlineStr">
        <is>
          <t>Não vendido</t>
        </is>
      </c>
      <c r="D337" s="4" t="inlineStr">
        <is>
          <t>52</t>
        </is>
      </c>
      <c r="E337" s="5" t="inlineStr">
        <is>
          <t>83.000,00</t>
        </is>
      </c>
      <c r="F337" s="4" t="inlineStr">
        <is>
          <t>1000.00</t>
        </is>
      </c>
    </row>
    <row collapsed="false" customFormat="false" customHeight="false" hidden="false" ht="12.1" outlineLevel="0" r="338">
      <c r="A338" s="5" t="s">
        <f>=HYPERLINK("https://www.leilaoonline.net/lote/detalhe/153474", "18134")</f>
      </c>
      <c r="B338" s="4" t="s">
        <f>=HYPERLINK("https://www.leilaoonline.net/lote/detalhe/153474", " FILTRO DE OLEO VAZAO 11000 MOD  OF 11000 D, ANO 2009, FR228978, LOC. JATAI ")</f>
      </c>
      <c r="C338" s="4" t="inlineStr">
        <is>
          <t>Não vendido</t>
        </is>
      </c>
      <c r="D338" s="4" t="inlineStr">
        <is>
          <t>2</t>
        </is>
      </c>
      <c r="E338" s="5" t="inlineStr">
        <is>
          <t>1.750,00</t>
        </is>
      </c>
      <c r="F338" s="4" t="inlineStr">
        <is>
          <t>250.00</t>
        </is>
      </c>
    </row>
    <row collapsed="false" customFormat="false" customHeight="false" hidden="false" ht="12.1" outlineLevel="0" r="339">
      <c r="A339" s="5" t="s">
        <f>=HYPERLINK("https://www.leilaoonline.net/lote/detalhe/153328", "18135")</f>
      </c>
      <c r="B339" s="4" t="s">
        <f>=HYPERLINK("https://www.leilaoonline.net/lote/detalhe/153328", " TRANSFORMADOR CAP 6000 KVA A OLEO MOD  TUC 6000 , ANO 2009,  (E COMPONENTES), LOC. JATAI ")</f>
      </c>
      <c r="C339" s="4" t="inlineStr">
        <is>
          <t>Vendido</t>
        </is>
      </c>
      <c r="D339" s="4" t="inlineStr">
        <is>
          <t>245</t>
        </is>
      </c>
      <c r="E339" s="5" t="inlineStr">
        <is>
          <t>100.000,00</t>
        </is>
      </c>
      <c r="F339" s="4" t="inlineStr">
        <is>
          <t>250.00</t>
        </is>
      </c>
    </row>
    <row collapsed="false" customFormat="false" customHeight="false" hidden="false" ht="12.1" outlineLevel="0" r="340">
      <c r="A340" s="5" t="s">
        <f>=HYPERLINK("https://www.leilaoonline.net/lote/detalhe/153319", "18136")</f>
      </c>
      <c r="B340" s="4" t="s">
        <f>=HYPERLINK("https://www.leilaoonline.net/lote/detalhe/153319", "3 BEBEDOUROS, PATR. 110141/110191/ 110166,  LOC. JATAI ")</f>
      </c>
      <c r="C340" s="4" t="inlineStr">
        <is>
          <t>Não vendido</t>
        </is>
      </c>
      <c r="D340" s="4" t="inlineStr">
        <is>
          <t>0</t>
        </is>
      </c>
      <c r="E340" s="5" t="inlineStr">
        <is>
          <t>1.000,00</t>
        </is>
      </c>
      <c r="F340" s="4" t="inlineStr">
        <is>
          <t>250.00</t>
        </is>
      </c>
    </row>
    <row collapsed="false" customFormat="false" customHeight="false" hidden="false" ht="12.1" outlineLevel="0" r="341">
      <c r="A341" s="5" t="s">
        <f>=HYPERLINK("https://www.leilaoonline.net/lote/detalhe/153356", "18137")</f>
      </c>
      <c r="B341" s="4" t="s">
        <f>=HYPERLINK("https://www.leilaoonline.net/lote/detalhe/153356", " 1 LAVADORA ALTA PRES KARCHER HDS12/15, PLAQ. 122528, LOC. JATAI ")</f>
      </c>
      <c r="C341" s="4" t="inlineStr">
        <is>
          <t>Vendido</t>
        </is>
      </c>
      <c r="D341" s="4" t="inlineStr">
        <is>
          <t>1</t>
        </is>
      </c>
      <c r="E341" s="5" t="inlineStr">
        <is>
          <t>1.000,00</t>
        </is>
      </c>
      <c r="F341" s="4" t="inlineStr">
        <is>
          <t>250.00</t>
        </is>
      </c>
    </row>
    <row collapsed="false" customFormat="false" customHeight="false" hidden="false" ht="12.1" outlineLevel="0" r="342">
      <c r="A342" s="5" t="s">
        <f>=HYPERLINK("https://www.leilaoonline.net/lote/detalhe/153359", "18138")</f>
      </c>
      <c r="B342" s="4" t="s">
        <f>=HYPERLINK("https://www.leilaoonline.net/lote/detalhe/153359", " PEÇAS AUTOMOTIVA (VEJA DESCRITIVO), S/FR, LOC. JATAI ")</f>
      </c>
      <c r="C342" s="4" t="inlineStr">
        <is>
          <t>Não vendido</t>
        </is>
      </c>
      <c r="D342" s="4" t="inlineStr">
        <is>
          <t>1</t>
        </is>
      </c>
      <c r="E342" s="5" t="inlineStr">
        <is>
          <t>3.000,00</t>
        </is>
      </c>
      <c r="F342" s="4" t="inlineStr">
        <is>
          <t>250.00</t>
        </is>
      </c>
    </row>
    <row collapsed="false" customFormat="false" customHeight="false" hidden="false" ht="12.1" outlineLevel="0" r="343">
      <c r="A343" s="5" t="s">
        <f>=HYPERLINK("https://www.leilaoonline.net/lote/detalhe/153335", "18139")</f>
      </c>
      <c r="B343" s="4" t="s">
        <f>=HYPERLINK("https://www.leilaoonline.net/lote/detalhe/153335", " PEÇAS COLHEDORA E TRATOR (VEJA DECRITIVO), S/FR, LOC. JATAI ")</f>
      </c>
      <c r="C343" s="4" t="inlineStr">
        <is>
          <t>Não vendido</t>
        </is>
      </c>
      <c r="D343" s="4" t="inlineStr">
        <is>
          <t>0</t>
        </is>
      </c>
      <c r="E343" s="5" t="inlineStr">
        <is>
          <t>3.000,00</t>
        </is>
      </c>
      <c r="F343" s="4" t="inlineStr">
        <is>
          <t>250.00</t>
        </is>
      </c>
    </row>
    <row collapsed="false" customFormat="false" customHeight="false" hidden="false" ht="12.1" outlineLevel="0" r="344">
      <c r="A344" s="5" t="s">
        <f>=HYPERLINK("https://www.leilaoonline.net/lote/detalhe/153320", "18140")</f>
      </c>
      <c r="B344" s="4" t="s">
        <f>=HYPERLINK("https://www.leilaoonline.net/lote/detalhe/153320", " SUCATA TRUCK COLHEDORA DE CANA, S/FR, LOC. JATAI ")</f>
      </c>
      <c r="C344" s="4" t="inlineStr">
        <is>
          <t>Não vendido</t>
        </is>
      </c>
      <c r="D344" s="4" t="inlineStr">
        <is>
          <t>0</t>
        </is>
      </c>
      <c r="E344" s="5" t="inlineStr">
        <is>
          <t>3.000,00</t>
        </is>
      </c>
      <c r="F344" s="4" t="inlineStr">
        <is>
          <t>250.00</t>
        </is>
      </c>
    </row>
    <row collapsed="false" customFormat="false" customHeight="false" hidden="false" ht="12.1" outlineLevel="0" r="345">
      <c r="A345" s="5" t="s">
        <f>=HYPERLINK("https://www.leilaoonline.net/lote/detalhe/157088", "20619")</f>
      </c>
      <c r="B345" s="4" t="s">
        <f>=HYPERLINK("https://www.leilaoonline.net/lote/detalhe/157088", " CAMINHÃO MERCEDES BENZ, MOD. AXOR 3344 6X4, ANO 2015/2015. - FR58640. - LOC. COSTA PINTO/SP")</f>
      </c>
      <c r="C345" s="4" t="inlineStr">
        <is>
          <t>Não vendido</t>
        </is>
      </c>
      <c r="D345" s="4" t="inlineStr">
        <is>
          <t>86</t>
        </is>
      </c>
      <c r="E345" s="5" t="inlineStr">
        <is>
          <t>160.000,00</t>
        </is>
      </c>
      <c r="F345" s="4" t="inlineStr">
        <is>
          <t>1000.00</t>
        </is>
      </c>
    </row>
    <row collapsed="false" customFormat="false" customHeight="false" hidden="false" ht="12.1" outlineLevel="0" r="346">
      <c r="A346" s="5" t="s">
        <f>=HYPERLINK("https://www.leilaoonline.net/lote/detalhe/157089", "20620")</f>
      </c>
      <c r="B346" s="4" t="s">
        <f>=HYPERLINK("https://www.leilaoonline.net/lote/detalhe/157089", " CAMINHAO MERCEDES-BENZ AXOR 3344 6X4, ANO 2014. - FR10639. - LOC. COSTA PINTO/SP")</f>
      </c>
      <c r="C346" s="4" t="inlineStr">
        <is>
          <t>Não vendido</t>
        </is>
      </c>
      <c r="D346" s="4" t="inlineStr">
        <is>
          <t>86</t>
        </is>
      </c>
      <c r="E346" s="5" t="inlineStr">
        <is>
          <t>160.000,00</t>
        </is>
      </c>
      <c r="F346" s="4" t="inlineStr">
        <is>
          <t>1000.00</t>
        </is>
      </c>
    </row>
    <row collapsed="false" customFormat="false" customHeight="false" hidden="false" ht="12.1" outlineLevel="0" r="347">
      <c r="A347" s="5" t="s">
        <f>=HYPERLINK("https://www.leilaoonline.net/lote/detalhe/153309", "20630")</f>
      </c>
      <c r="B347" s="4" t="s">
        <f>=HYPERLINK("https://www.leilaoonline.net/lote/detalhe/153309", " CARROCERIA ABAS.F.BAZUKA, ANO 2013, FR140601, LOC. BOM RETIRO")</f>
      </c>
      <c r="C347" s="4" t="inlineStr">
        <is>
          <t>Não vendido</t>
        </is>
      </c>
      <c r="D347" s="4" t="inlineStr">
        <is>
          <t>0</t>
        </is>
      </c>
      <c r="E347" s="5" t="inlineStr">
        <is>
          <t>3.000,00</t>
        </is>
      </c>
      <c r="F347" s="4" t="inlineStr">
        <is>
          <t>250.00</t>
        </is>
      </c>
    </row>
    <row collapsed="false" customFormat="false" customHeight="false" hidden="false" ht="12.1" outlineLevel="0" r="348">
      <c r="A348" s="5" t="s">
        <f>=HYPERLINK("https://www.leilaoonline.net/lote/detalhe/153297", "20659")</f>
      </c>
      <c r="B348" s="4" t="s">
        <f>=HYPERLINK("https://www.leilaoonline.net/lote/detalhe/153297", " REBOQUE RANDON 4E 12,5M TOMBO DIREITO, 2010/2011, FR36271, LOC. BOM RETIRO")</f>
      </c>
      <c r="C348" s="4" t="inlineStr">
        <is>
          <t>Não vendido</t>
        </is>
      </c>
      <c r="D348" s="4" t="inlineStr">
        <is>
          <t>0</t>
        </is>
      </c>
      <c r="E348" s="5" t="inlineStr">
        <is>
          <t>35.000,00</t>
        </is>
      </c>
      <c r="F348" s="4" t="inlineStr">
        <is>
          <t>1000.00</t>
        </is>
      </c>
    </row>
    <row collapsed="false" customFormat="false" customHeight="false" hidden="false" ht="12.1" outlineLevel="0" r="349">
      <c r="A349" s="5" t="s">
        <f>=HYPERLINK("https://www.leilaoonline.net/lote/detalhe/153281", "20665")</f>
      </c>
      <c r="B349" s="4" t="s">
        <f>=HYPERLINK("https://www.leilaoonline.net/lote/detalhe/153281", " SEMI-REBOQUE RANDON 12,50M CANA INTEIRA TOMBO DIREITO, ANO 2014/2014, FR56381, (VEIC.SINISTRADO MED.MONTA), LOC. BOM RETIRO ")</f>
      </c>
      <c r="C349" s="4" t="inlineStr">
        <is>
          <t>Vendido</t>
        </is>
      </c>
      <c r="D349" s="4" t="inlineStr">
        <is>
          <t>1</t>
        </is>
      </c>
      <c r="E349" s="5" t="inlineStr">
        <is>
          <t>35.000,00</t>
        </is>
      </c>
      <c r="F349" s="4" t="inlineStr">
        <is>
          <t>1000.00</t>
        </is>
      </c>
    </row>
    <row collapsed="false" customFormat="false" customHeight="false" hidden="false" ht="12.1" outlineLevel="0" r="350">
      <c r="A350" s="5" t="s">
        <f>=HYPERLINK("https://www.leilaoonline.net/lote/detalhe/154140", "20666")</f>
      </c>
      <c r="B350" s="4" t="s">
        <f>=HYPERLINK("https://www.leilaoonline.net/lote/detalhe/154140", "PA-CARREGADORA VOLVO L90D – ANO 2001 - FR139538, LOC. COSTA PINTO ")</f>
      </c>
      <c r="C350" s="4" t="inlineStr">
        <is>
          <t>Não vendido</t>
        </is>
      </c>
      <c r="D350" s="4" t="inlineStr">
        <is>
          <t>6</t>
        </is>
      </c>
      <c r="E350" s="5" t="inlineStr">
        <is>
          <t>47.000,00</t>
        </is>
      </c>
      <c r="F350" s="4" t="inlineStr">
        <is>
          <t>1000.00</t>
        </is>
      </c>
    </row>
    <row collapsed="false" customFormat="false" customHeight="false" hidden="false" ht="12.1" outlineLevel="0" r="351">
      <c r="A351" s="5" t="s">
        <f>=HYPERLINK("https://www.leilaoonline.net/lote/detalhe/153291", "20682")</f>
      </c>
      <c r="B351" s="4" t="s">
        <f>=HYPERLINK("https://www.leilaoonline.net/lote/detalhe/153291", " SEMI-REBOQUE RANDON 12,50M CANA INTEIRA TOMBO DIREITO, ANO 2008/2008, LOC. LOC. BOM RETIRO")</f>
      </c>
      <c r="C351" s="4" t="inlineStr">
        <is>
          <t>Não vendido</t>
        </is>
      </c>
      <c r="D351" s="4" t="inlineStr">
        <is>
          <t>0</t>
        </is>
      </c>
      <c r="E351" s="5" t="inlineStr">
        <is>
          <t>35.000,00</t>
        </is>
      </c>
      <c r="F351" s="4" t="inlineStr">
        <is>
          <t>1000.00</t>
        </is>
      </c>
    </row>
    <row collapsed="false" customFormat="false" customHeight="false" hidden="false" ht="12.1" outlineLevel="0" r="352">
      <c r="A352" s="5" t="s">
        <f>=HYPERLINK("https://www.leilaoonline.net/lote/detalhe/153306", "20685")</f>
      </c>
      <c r="B352" s="4" t="s">
        <f>=HYPERLINK("https://www.leilaoonline.net/lote/detalhe/153306", " SEMI-REBOQUE RANDON 12,50M CANA INTEIRA TOMBO DIREITO, ANO 2008/2008, FR56275 , (REMARCAÇAO DE CHASSI), LOC. BOM RETIRO ")</f>
      </c>
      <c r="C352" s="4" t="inlineStr">
        <is>
          <t>Não vendido</t>
        </is>
      </c>
      <c r="D352" s="4" t="inlineStr">
        <is>
          <t>0</t>
        </is>
      </c>
      <c r="E352" s="5" t="inlineStr">
        <is>
          <t>35.000,00</t>
        </is>
      </c>
      <c r="F352" s="4" t="inlineStr">
        <is>
          <t>1000.00</t>
        </is>
      </c>
    </row>
    <row collapsed="false" customFormat="false" customHeight="false" hidden="false" ht="12.1" outlineLevel="0" r="353">
      <c r="A353" s="5" t="s">
        <f>=HYPERLINK("https://www.leilaoonline.net/lote/detalhe/155370", "20691")</f>
      </c>
      <c r="B353" s="4" t="s">
        <f>=HYPERLINK("https://www.leilaoonline.net/lote/detalhe/155370", " TANQUE DE METAL , SF./ LOC. LEME / SP ")</f>
      </c>
      <c r="C353" s="4" t="inlineStr">
        <is>
          <t>Não vendido</t>
        </is>
      </c>
      <c r="D353" s="4" t="inlineStr">
        <is>
          <t>7</t>
        </is>
      </c>
      <c r="E353" s="5" t="inlineStr">
        <is>
          <t>8.000,00</t>
        </is>
      </c>
      <c r="F353" s="4" t="inlineStr">
        <is>
          <t>500.00</t>
        </is>
      </c>
    </row>
    <row collapsed="false" customFormat="false" customHeight="false" hidden="false" ht="12.1" outlineLevel="0" r="354">
      <c r="A354" s="5" t="s">
        <f>=HYPERLINK("https://www.leilaoonline.net/lote/detalhe/153322", "20694")</f>
      </c>
      <c r="B354" s="4" t="s">
        <f>=HYPERLINK("https://www.leilaoonline.net/lote/detalhe/153322", " REBOQUE RANDON 4E 12,5M TOMBO DIREITO, ANO 2010/2010, FR66183, LOC. BOM RETIRO ")</f>
      </c>
      <c r="C354" s="4" t="inlineStr">
        <is>
          <t>Não vendido</t>
        </is>
      </c>
      <c r="D354" s="4" t="inlineStr">
        <is>
          <t>0</t>
        </is>
      </c>
      <c r="E354" s="5" t="inlineStr">
        <is>
          <t>35.000,00</t>
        </is>
      </c>
      <c r="F354" s="4" t="inlineStr">
        <is>
          <t>1000.00</t>
        </is>
      </c>
    </row>
    <row collapsed="false" customFormat="false" customHeight="false" hidden="false" ht="12.1" outlineLevel="0" r="355">
      <c r="A355" s="5" t="s">
        <f>=HYPERLINK("https://www.leilaoonline.net/lote/detalhe/153286", "20695")</f>
      </c>
      <c r="B355" s="4" t="s">
        <f>=HYPERLINK("https://www.leilaoonline.net/lote/detalhe/153286", " MOTOBOMBA ALBRIZZI-PETRY, ANO 1987, FR23704, LOC. BOM RETIRO ")</f>
      </c>
      <c r="C355" s="4" t="inlineStr">
        <is>
          <t>Vendido</t>
        </is>
      </c>
      <c r="D355" s="4" t="inlineStr">
        <is>
          <t>35</t>
        </is>
      </c>
      <c r="E355" s="5" t="inlineStr">
        <is>
          <t>12.000,00</t>
        </is>
      </c>
      <c r="F355" s="4" t="inlineStr">
        <is>
          <t>250.00</t>
        </is>
      </c>
    </row>
    <row collapsed="false" customFormat="false" customHeight="false" hidden="false" ht="12.1" outlineLevel="0" r="356">
      <c r="A356" s="5" t="s">
        <f>=HYPERLINK("https://www.leilaoonline.net/lote/detalhe/153324", "20697")</f>
      </c>
      <c r="B356" s="4" t="s">
        <f>=HYPERLINK("https://www.leilaoonline.net/lote/detalhe/153324", " DISTRIBUIDOR TORTA 10M3 4 LINHA, ANO 2011, FR38011, LOC. BOM RETIRO ")</f>
      </c>
      <c r="C356" s="4" t="inlineStr">
        <is>
          <t>Vendido</t>
        </is>
      </c>
      <c r="D356" s="4" t="inlineStr">
        <is>
          <t>10</t>
        </is>
      </c>
      <c r="E356" s="5" t="inlineStr">
        <is>
          <t>7.250,00</t>
        </is>
      </c>
      <c r="F356" s="4" t="inlineStr">
        <is>
          <t>250.00</t>
        </is>
      </c>
    </row>
    <row collapsed="false" customFormat="false" customHeight="false" hidden="false" ht="12.1" outlineLevel="0" r="357">
      <c r="A357" s="5" t="s">
        <f>=HYPERLINK("https://www.leilaoonline.net/lote/detalhe/155375", "20697")</f>
      </c>
      <c r="B357" s="4" t="s">
        <f>=HYPERLINK("https://www.leilaoonline.net/lote/detalhe/155375", "FILTRO DE INOX, PLQ209133,  LOC. RAFARD")</f>
      </c>
      <c r="C357" s="4" t="inlineStr">
        <is>
          <t>Não vendido</t>
        </is>
      </c>
      <c r="D357" s="4" t="inlineStr">
        <is>
          <t>1</t>
        </is>
      </c>
      <c r="E357" s="5" t="inlineStr">
        <is>
          <t>2.500,00</t>
        </is>
      </c>
      <c r="F357" s="4" t="inlineStr">
        <is>
          <t>250.00</t>
        </is>
      </c>
    </row>
    <row collapsed="false" customFormat="false" customHeight="false" hidden="false" ht="12.1" outlineLevel="0" r="358">
      <c r="A358" s="5" t="s">
        <f>=HYPERLINK("https://www.leilaoonline.net/lote/detalhe/153296", "20698")</f>
      </c>
      <c r="B358" s="4" t="s">
        <f>=HYPERLINK("https://www.leilaoonline.net/lote/detalhe/153296", " PLANTADORA DE CANA SOLLUS FLEX 8080, FR48212, LOC. BOM RETIRO ")</f>
      </c>
      <c r="C358" s="4" t="inlineStr">
        <is>
          <t>Vendido</t>
        </is>
      </c>
      <c r="D358" s="4" t="inlineStr">
        <is>
          <t>3</t>
        </is>
      </c>
      <c r="E358" s="5" t="inlineStr">
        <is>
          <t>11.000,00</t>
        </is>
      </c>
      <c r="F358" s="4" t="inlineStr">
        <is>
          <t>500.00</t>
        </is>
      </c>
    </row>
    <row collapsed="false" customFormat="false" customHeight="false" hidden="false" ht="12.1" outlineLevel="0" r="359">
      <c r="A359" s="5" t="s">
        <f>=HYPERLINK("https://www.leilaoonline.net/lote/detalhe/153292", "20699")</f>
      </c>
      <c r="B359" s="4" t="s">
        <f>=HYPERLINK("https://www.leilaoonline.net/lote/detalhe/153292", " 4 ADUBADEIRAS  MARCA JUMIL MODELO JM3520SH, ANO 2011, FR57305/FR57317/FR57318/FR57304, LOC. BOM RETIRO ")</f>
      </c>
      <c r="C359" s="4" t="inlineStr">
        <is>
          <t>Não vendido</t>
        </is>
      </c>
      <c r="D359" s="4" t="inlineStr">
        <is>
          <t>0</t>
        </is>
      </c>
      <c r="E359" s="5" t="inlineStr">
        <is>
          <t>5.000,00</t>
        </is>
      </c>
      <c r="F359" s="4" t="inlineStr">
        <is>
          <t>250.00</t>
        </is>
      </c>
    </row>
    <row collapsed="false" customFormat="false" customHeight="false" hidden="false" ht="12.1" outlineLevel="0" r="360">
      <c r="A360" s="5" t="s">
        <f>=HYPERLINK("https://www.leilaoonline.net/lote/detalhe/153232", "20700")</f>
      </c>
      <c r="B360" s="4" t="s">
        <f>=HYPERLINK("https://www.leilaoonline.net/lote/detalhe/153232", " CAMINHAO VW. 26-220 6X4 COM TANQUE, ANO 2010, (FR26028/ FR22125)   LOC. BOM RETIRO ")</f>
      </c>
      <c r="C360" s="4" t="inlineStr">
        <is>
          <t>Não vendido</t>
        </is>
      </c>
      <c r="D360" s="4" t="inlineStr">
        <is>
          <t>71</t>
        </is>
      </c>
      <c r="E360" s="5" t="inlineStr">
        <is>
          <t>118.000,00</t>
        </is>
      </c>
      <c r="F360" s="4" t="inlineStr">
        <is>
          <t>1000.00</t>
        </is>
      </c>
    </row>
    <row collapsed="false" customFormat="false" customHeight="false" hidden="false" ht="12.1" outlineLevel="0" r="361">
      <c r="A361" s="5" t="s">
        <f>=HYPERLINK("https://www.leilaoonline.net/lote/detalhe/153339", "20702")</f>
      </c>
      <c r="B361" s="4" t="s">
        <f>=HYPERLINK("https://www.leilaoonline.net/lote/detalhe/153339", " TANQUE EM FIBRA 35M3 - NR 03 CIRCULAÇÃO DE NPK, PLAQ.40059-0, LOC. LEME ")</f>
      </c>
      <c r="C361" s="4" t="inlineStr">
        <is>
          <t>Vendido</t>
        </is>
      </c>
      <c r="D361" s="4" t="inlineStr">
        <is>
          <t>55</t>
        </is>
      </c>
      <c r="E361" s="5" t="inlineStr">
        <is>
          <t>16.500,00</t>
        </is>
      </c>
      <c r="F361" s="4" t="inlineStr">
        <is>
          <t>250.00</t>
        </is>
      </c>
    </row>
    <row collapsed="false" customFormat="false" customHeight="false" hidden="false" ht="12.1" outlineLevel="0" r="362">
      <c r="A362" s="5" t="s">
        <f>=HYPERLINK("https://www.leilaoonline.net/lote/detalhe/153321", "20703")</f>
      </c>
      <c r="B362" s="4" t="s">
        <f>=HYPERLINK("https://www.leilaoonline.net/lote/detalhe/153321", " TANQUE EM FIBRA, NPK, 35M3 - NR 01, PLAQ.2030-40064-0, LOC. LEME ")</f>
      </c>
      <c r="C362" s="4" t="inlineStr">
        <is>
          <t>Vendido</t>
        </is>
      </c>
      <c r="D362" s="4" t="inlineStr">
        <is>
          <t>110</t>
        </is>
      </c>
      <c r="E362" s="5" t="inlineStr">
        <is>
          <t>34.000,00</t>
        </is>
      </c>
      <c r="F362" s="4" t="inlineStr">
        <is>
          <t>1000.00</t>
        </is>
      </c>
    </row>
    <row collapsed="false" customFormat="false" customHeight="false" hidden="false" ht="12.1" outlineLevel="0" r="363">
      <c r="A363" s="5" t="s">
        <f>=HYPERLINK("https://www.leilaoonline.net/lote/detalhe/153338", "20704")</f>
      </c>
      <c r="B363" s="4" t="s">
        <f>=HYPERLINK("https://www.leilaoonline.net/lote/detalhe/153338", " TANQUE EM FIBRA, NPK, 35M3 - NR 02, PLAQ. 2030-40067-0, LOC. LEME ")</f>
      </c>
      <c r="C363" s="4" t="inlineStr">
        <is>
          <t>Vendido</t>
        </is>
      </c>
      <c r="D363" s="4" t="inlineStr">
        <is>
          <t>61</t>
        </is>
      </c>
      <c r="E363" s="5" t="inlineStr">
        <is>
          <t>18.000,00</t>
        </is>
      </c>
      <c r="F363" s="4" t="inlineStr">
        <is>
          <t>250.00</t>
        </is>
      </c>
    </row>
    <row collapsed="false" customFormat="false" customHeight="false" hidden="false" ht="12.1" outlineLevel="0" r="364">
      <c r="A364" s="5" t="s">
        <f>=HYPERLINK("https://www.leilaoonline.net/lote/detalhe/153327", "20705")</f>
      </c>
      <c r="B364" s="4" t="s">
        <f>=HYPERLINK("https://www.leilaoonline.net/lote/detalhe/153327", " TANQUE EM ACO, NPK, 35M3 - NR 04, PLAQ. 2030-40071-0, LOC. LEME ")</f>
      </c>
      <c r="C364" s="4" t="inlineStr">
        <is>
          <t>Vendido</t>
        </is>
      </c>
      <c r="D364" s="4" t="inlineStr">
        <is>
          <t>74</t>
        </is>
      </c>
      <c r="E364" s="5" t="inlineStr">
        <is>
          <t>23.250,00</t>
        </is>
      </c>
      <c r="F364" s="4" t="inlineStr">
        <is>
          <t>500.00</t>
        </is>
      </c>
    </row>
    <row collapsed="false" customFormat="false" customHeight="false" hidden="false" ht="12.1" outlineLevel="0" r="365">
      <c r="A365" s="5" t="s">
        <f>=HYPERLINK("https://www.leilaoonline.net/lote/detalhe/153315", "20706")</f>
      </c>
      <c r="B365" s="4" t="s">
        <f>=HYPERLINK("https://www.leilaoonline.net/lote/detalhe/153315", " BOMBA CENTRIFUGA MCA IMBIL MOD ISM.G 100X35 ANO 2011 80M3/H - BOMBA NR 01 CIRCULACAO NPK, PLAQ. 40077-0, MEL_WEG_30CV_180M_1765RPM ANO 2005,   LOC. LEME ")</f>
      </c>
      <c r="C365" s="4" t="inlineStr">
        <is>
          <t>Não vendido</t>
        </is>
      </c>
      <c r="D365" s="4" t="inlineStr">
        <is>
          <t>1</t>
        </is>
      </c>
      <c r="E365" s="5" t="inlineStr">
        <is>
          <t>5.250,00</t>
        </is>
      </c>
      <c r="F365" s="4" t="inlineStr">
        <is>
          <t>250.00</t>
        </is>
      </c>
    </row>
    <row collapsed="false" customFormat="false" customHeight="false" hidden="false" ht="12.1" outlineLevel="0" r="366">
      <c r="A366" s="5" t="s">
        <f>=HYPERLINK("https://www.leilaoonline.net/lote/detalhe/153284", "20707")</f>
      </c>
      <c r="B366" s="4" t="s">
        <f>=HYPERLINK("https://www.leilaoonline.net/lote/detalhe/153284", " BOMBA CENTRIFUGA 150M3/H IMBIL ISMG 150-100 12MCA - BCE BOMBA NR 01, PLAQ. 40042-0, LOC. LEME ")</f>
      </c>
      <c r="C366" s="4" t="inlineStr">
        <is>
          <t>Vendido</t>
        </is>
      </c>
      <c r="D366" s="4" t="inlineStr">
        <is>
          <t>9</t>
        </is>
      </c>
      <c r="E366" s="5" t="inlineStr">
        <is>
          <t>7.250,00</t>
        </is>
      </c>
      <c r="F366" s="4" t="inlineStr">
        <is>
          <t>250.00</t>
        </is>
      </c>
    </row>
    <row collapsed="false" customFormat="false" customHeight="false" hidden="false" ht="12.1" outlineLevel="0" r="367">
      <c r="A367" s="5" t="s">
        <f>=HYPERLINK("https://www.leilaoonline.net/lote/detalhe/153326", "20708")</f>
      </c>
      <c r="B367" s="4" t="s">
        <f>=HYPERLINK("https://www.leilaoonline.net/lote/detalhe/153326", " TANQUE EM ACO,AGUA DE GASES, 5M3, PLAQ.2030-40098-0,02 COLUNAS VERTICAIS EM AÇO DE ABSORCAO DE GASES, PLAQ.2030-40104-0/ 2030-40109-0, LOC. LEME ")</f>
      </c>
      <c r="C367" s="4" t="inlineStr">
        <is>
          <t>Não vendido</t>
        </is>
      </c>
      <c r="D367" s="4" t="inlineStr">
        <is>
          <t>1</t>
        </is>
      </c>
      <c r="E367" s="5" t="inlineStr">
        <is>
          <t>3.000,00</t>
        </is>
      </c>
      <c r="F367" s="4" t="inlineStr">
        <is>
          <t>250.00</t>
        </is>
      </c>
    </row>
    <row collapsed="false" customFormat="false" customHeight="false" hidden="false" ht="12.1" outlineLevel="0" r="368">
      <c r="A368" s="5" t="s">
        <f>=HYPERLINK("https://www.leilaoonline.net/lote/detalhe/153282", "20709")</f>
      </c>
      <c r="B368" s="4" t="s">
        <f>=HYPERLINK("https://www.leilaoonline.net/lote/detalhe/153282", " TANQUE EM AÇO CAP 1000M3, AQUAMONIA, PLAQ.2030-40172-0, LOC.LEME ")</f>
      </c>
      <c r="C368" s="4" t="inlineStr">
        <is>
          <t>Não vendido</t>
        </is>
      </c>
      <c r="D368" s="4" t="inlineStr">
        <is>
          <t>102</t>
        </is>
      </c>
      <c r="E368" s="5" t="inlineStr">
        <is>
          <t>54.750,00</t>
        </is>
      </c>
      <c r="F368" s="4" t="inlineStr">
        <is>
          <t>1000.00</t>
        </is>
      </c>
    </row>
    <row collapsed="false" customFormat="false" customHeight="false" hidden="false" ht="12.1" outlineLevel="0" r="369">
      <c r="A369" s="5" t="s">
        <f>=HYPERLINK("https://www.leilaoonline.net/lote/detalhe/153337", "20710")</f>
      </c>
      <c r="B369" s="4" t="s">
        <f>=HYPERLINK("https://www.leilaoonline.net/lote/detalhe/153337", " TANQUE EM AÇO CAP 150M3, AMONIA, PLAQ. 2030-40166-0, LOC. LEME ")</f>
      </c>
      <c r="C369" s="4" t="inlineStr">
        <is>
          <t>Não vendido</t>
        </is>
      </c>
      <c r="D369" s="4" t="inlineStr">
        <is>
          <t>54</t>
        </is>
      </c>
      <c r="E369" s="5" t="inlineStr">
        <is>
          <t>17.500,00</t>
        </is>
      </c>
      <c r="F369" s="4" t="inlineStr">
        <is>
          <t>500.00</t>
        </is>
      </c>
    </row>
    <row collapsed="false" customFormat="false" customHeight="false" hidden="false" ht="12.1" outlineLevel="0" r="370">
      <c r="A370" s="5" t="s">
        <f>=HYPERLINK("https://www.leilaoonline.net/lote/detalhe/153305", "20711")</f>
      </c>
      <c r="B370" s="4" t="s">
        <f>=HYPERLINK("https://www.leilaoonline.net/lote/detalhe/153305", " 03 TROCADORES DE PLACA MCA  ALFA LAVAL MOD  P.14-HBM 60 PLACAS, NR 01, NR 02, NR 03,  PLAQ. 2030-40185-0/ 2030-40191-0/ PLAQ.2030-40195-0, LOC. LEME ")</f>
      </c>
      <c r="C370" s="4" t="inlineStr">
        <is>
          <t>Vendido</t>
        </is>
      </c>
      <c r="D370" s="4" t="inlineStr">
        <is>
          <t>56</t>
        </is>
      </c>
      <c r="E370" s="5" t="inlineStr">
        <is>
          <t>27.000,00</t>
        </is>
      </c>
      <c r="F370" s="4" t="inlineStr">
        <is>
          <t>1000.00</t>
        </is>
      </c>
    </row>
    <row collapsed="false" customFormat="false" customHeight="false" hidden="false" ht="12.1" outlineLevel="0" r="371">
      <c r="A371" s="5" t="s">
        <f>=HYPERLINK("https://www.leilaoonline.net/lote/detalhe/153336", "20714")</f>
      </c>
      <c r="B371" s="4" t="s">
        <f>=HYPERLINK("https://www.leilaoonline.net/lote/detalhe/153336", " CHASSI DE GRADE PESADA, S/FR., LOC. LEME ")</f>
      </c>
      <c r="C371" s="4" t="inlineStr">
        <is>
          <t>Vendido</t>
        </is>
      </c>
      <c r="D371" s="4" t="inlineStr">
        <is>
          <t>45</t>
        </is>
      </c>
      <c r="E371" s="5" t="inlineStr">
        <is>
          <t>14.500,00</t>
        </is>
      </c>
      <c r="F371" s="4" t="inlineStr">
        <is>
          <t>500.00</t>
        </is>
      </c>
    </row>
    <row collapsed="false" customFormat="false" customHeight="false" hidden="false" ht="12.1" outlineLevel="0" r="372">
      <c r="A372" s="5" t="s">
        <f>=HYPERLINK("https://www.leilaoonline.net/lote/detalhe/153288", "20715")</f>
      </c>
      <c r="B372" s="4" t="s">
        <f>=HYPERLINK("https://www.leilaoonline.net/lote/detalhe/153288", " 2 CHASSIS DE GRADE PESADA SEM FROTA (1 AMARELA, E LARANJA), S/FR, LOC. LEME ")</f>
      </c>
      <c r="C372" s="4" t="inlineStr">
        <is>
          <t>Não vendido</t>
        </is>
      </c>
      <c r="D372" s="4" t="inlineStr">
        <is>
          <t>4</t>
        </is>
      </c>
      <c r="E372" s="5" t="inlineStr">
        <is>
          <t>2.750,00</t>
        </is>
      </c>
      <c r="F372" s="4" t="inlineStr">
        <is>
          <t>250.00</t>
        </is>
      </c>
    </row>
    <row collapsed="false" customFormat="false" customHeight="false" hidden="false" ht="12.1" outlineLevel="0" r="373">
      <c r="A373" s="5" t="s">
        <f>=HYPERLINK("https://www.leilaoonline.net/lote/detalhe/153561", "25000")</f>
      </c>
      <c r="B373" s="4" t="s">
        <f>=HYPERLINK("https://www.leilaoonline.net/lote/detalhe/153561", "01 MÁQUINA DE ENVASE - JS MULTI ENVASE, S/ FR- LOC. BRIA - Base de Araucária")</f>
      </c>
      <c r="C373" s="4" t="inlineStr">
        <is>
          <t>Não vendido</t>
        </is>
      </c>
      <c r="D373" s="4" t="inlineStr">
        <is>
          <t>4</t>
        </is>
      </c>
      <c r="E373" s="5" t="inlineStr">
        <is>
          <t>6.500,00</t>
        </is>
      </c>
      <c r="F373" s="4" t="inlineStr">
        <is>
          <t>500.00</t>
        </is>
      </c>
    </row>
    <row collapsed="false" customFormat="false" customHeight="false" hidden="false" ht="12.1" outlineLevel="0" r="374">
      <c r="A374" s="5" t="s">
        <f>=HYPERLINK("https://www.leilaoonline.net/lote/detalhe/168801", "30036")</f>
      </c>
      <c r="B374" s="4" t="s">
        <f>=HYPERLINK("https://www.leilaoonline.net/lote/detalhe/168801", " REBOQUE RANDONSP RQ CA, ANO 2010/2010, AZUL , FR96791, ( VENDA SEM RODAS E SEM PNEUS), LOC. SANTA CANDIDA ")</f>
      </c>
      <c r="C374" s="4" t="inlineStr">
        <is>
          <t>Vendido</t>
        </is>
      </c>
      <c r="D374" s="4" t="inlineStr">
        <is>
          <t>1</t>
        </is>
      </c>
      <c r="E374" s="5" t="inlineStr">
        <is>
          <t>37.000,00</t>
        </is>
      </c>
      <c r="F37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2026-03-27T09:39:40.00Z</dcterms:created>
  <dc:creator>Tellks Tecnologia</dc:creator>
  <cp:revision>0</cp:revision>
</cp:coreProperties>
</file>