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+ 450 LOTES: 71 CAMINHÕES - 45 TRATORES - VEÍCULOS - EMPILHAD - REBOQUES - MAQ. PESADAS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=HYPERLINK("https://www.leilaoonline.net/lote/detalhe/259798", "001")</f>
      </c>
      <c r="B11" s="4" t="s">
        <f>=HYPERLINK("https://www.leilaoonline.net/lote/detalhe/259798", "LOTE CONTENDO 189 ITENS, OBS: LOCALIZADO EM DIV. UNIDADES VEJA RELAÇÃO ABAIXO")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162.169,31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=HYPERLINK("https://www.leilaoonline.net/lote/detalhe/161433", "299")</f>
      </c>
      <c r="B12" s="4" t="s">
        <f>=HYPERLINK("https://www.leilaoonline.net/lote/detalhe/161433", "CARROCERIA COMBOIO, S/ FR, LOC. RIO BRILHANTE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=HYPERLINK("https://www.leilaoonline.net/lote/detalhe/160244", "456")</f>
      </c>
      <c r="B13" s="4" t="s">
        <f>=HYPERLINK("https://www.leilaoonline.net/lote/detalhe/160244", "CAMINHÃO VW 15.180 EURO3 WORKER, ANO 2010/2011, BRANCO ( VEICULO SEM CARROCERIA ) FR4415074, LOC. CAARAPÓ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=HYPERLINK("https://www.leilaoonline.net/lote/detalhe/160243", "468")</f>
      </c>
      <c r="B14" s="4" t="s">
        <f>=HYPERLINK("https://www.leilaoonline.net/lote/detalhe/160243", " CAMINHÃO VOLKSWAGEN 15-180 EURO3 WORKER (BORRACHARIA:55012), ANO 2008/2008, BRANCO - FR4415010 - LOC.CAARAPÓ")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=HYPERLINK("https://www.leilaoonline.net/lote/detalhe/160245", "469")</f>
      </c>
      <c r="B15" s="4" t="s">
        <f>=HYPERLINK("https://www.leilaoonline.net/lote/detalhe/160245", "CAMINHÃO M BENZ AXOR 3344S 6X4, ANO 2014/2014, BRANCO - FR119950 - LOC. CAARAPÓ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=HYPERLINK("https://www.leilaoonline.net/lote/detalhe/160278", "472")</f>
      </c>
      <c r="B16" s="4" t="s">
        <f>=HYPERLINK("https://www.leilaoonline.net/lote/detalhe/160278", "CAMINHÃO VOLVO/FM 500 6X4 T, ANO 2013/2013, BRANCA , FR4415041, LOC. CAARAPÓ")</f>
      </c>
      <c r="C16" s="4" t="inlineStr">
        <is>
          <t>Vendido</t>
        </is>
      </c>
      <c r="D16" s="4" t="inlineStr">
        <is>
          <t>29</t>
        </is>
      </c>
      <c r="E16" s="5" t="inlineStr">
        <is>
          <t>88.000,00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=HYPERLINK("https://www.leilaoonline.net/lote/detalhe/160246", "473")</f>
      </c>
      <c r="B17" s="4" t="s">
        <f>=HYPERLINK("https://www.leilaoonline.net/lote/detalhe/160246", "CAMINHÃO VOLVO FM 500 6X4T, ANO 2013/2013 - FR4415033 - LOC. CAARAPÓ")</f>
      </c>
      <c r="C17" s="4" t="inlineStr">
        <is>
          <t>Vendido</t>
        </is>
      </c>
      <c r="D17" s="4" t="inlineStr">
        <is>
          <t>27</t>
        </is>
      </c>
      <c r="E17" s="5" t="inlineStr">
        <is>
          <t>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=HYPERLINK("https://www.leilaoonline.net/lote/detalhe/160604", "479")</f>
      </c>
      <c r="B18" s="4" t="s">
        <f>=HYPERLINK("https://www.leilaoonline.net/lote/detalhe/160604", " QUADRICICLO INJECAO ELETR 26,9CV 6250RPM, ANO 2015, FR9006005, LOC. RIO BRILHANTE 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=HYPERLINK("https://www.leilaoonline.net/lote/detalhe/160148", "485")</f>
      </c>
      <c r="B19" s="4" t="s">
        <f>=HYPERLINK("https://www.leilaoonline.net/lote/detalhe/160148", "AREA DE VIVENCIA , REB/ GOYDO REG. CAN, ANO 2001/2002, FR5004632,OBS. ( COR DIVERGENTE)  LOC. RIO BRILHANTE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=HYPERLINK("https://www.leilaoonline.net/lote/detalhe/160587", "505")</f>
      </c>
      <c r="B20" s="4" t="s">
        <f>=HYPERLINK("https://www.leilaoonline.net/lote/detalhe/160587", "43 ITENS DIVERSOS, SUCATAS DE VALVULAS, CILINDROS, MOTORES E OUTROS - VEJA DESCRITIVO DE ITENS , LOC. CAARAPÓ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=HYPERLINK("https://www.leilaoonline.net/lote/detalhe/160605", "506")</f>
      </c>
      <c r="B21" s="4" t="s">
        <f>=HYPERLINK("https://www.leilaoonline.net/lote/detalhe/160605", "LOTE COM 55 SUCATAS DE MOTORES , 04 ATUADORES DE VALVULAS , 02 COMPRESSOR COM MOTOR , S/FR, LOC. PASSATEMPO /MS")</f>
      </c>
      <c r="C21" s="4" t="inlineStr">
        <is>
          <t>Vendido</t>
        </is>
      </c>
      <c r="D21" s="4" t="inlineStr">
        <is>
          <t>101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=HYPERLINK("https://www.leilaoonline.net/lote/detalhe/160239", "552")</f>
      </c>
      <c r="B22" s="4" t="s">
        <f>=HYPERLINK("https://www.leilaoonline.net/lote/detalhe/160239", "REBOQUE RANDON RQ CA, ANO 2004/2004 - FR14004249 - LOC. SANTA ELISA 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=HYPERLINK("https://www.leilaoonline.net/lote/detalhe/160240", "553")</f>
      </c>
      <c r="B23" s="4" t="s">
        <f>=HYPERLINK("https://www.leilaoonline.net/lote/detalhe/160240", "REBOQUE RANDON RQ CI HI, ANO 1996/1996, FR14004186, LOC. SANTA ELISA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=HYPERLINK("https://www.leilaoonline.net/lote/detalhe/160238", "556")</f>
      </c>
      <c r="B24" s="4" t="s">
        <f>=HYPERLINK("https://www.leilaoonline.net/lote/detalhe/160238", " SEMI-REBOQUE CANA PICADA SR CA RANDON, ANO 2007/2007, AZUL - FR14004307 - LOC. SANTA ELISA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=HYPERLINK("https://www.leilaoonline.net/lote/detalhe/160247", "559")</f>
      </c>
      <c r="B25" s="4" t="s">
        <f>=HYPERLINK("https://www.leilaoonline.net/lote/detalhe/160247", " TRANSBORDO SANTAL , ANO 2008, FR14003321,   LOC. SANTA ELISA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=HYPERLINK("https://www.leilaoonline.net/lote/detalhe/160236", "569")</f>
      </c>
      <c r="B26" s="4" t="s">
        <f>=HYPERLINK("https://www.leilaoonline.net/lote/detalhe/160236", " CARRETA AGRICOLA AREA VIVENCIA 02-4P, ANO 2012,  FR14004619 ,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=HYPERLINK("https://www.leilaoonline.net/lote/detalhe/160666", "573")</f>
      </c>
      <c r="B27" s="4" t="s">
        <f>=HYPERLINK("https://www.leilaoonline.net/lote/detalhe/160666", " MUNCK VEICULAR   3.500 KGS, LOC. SANTA ELISA  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=HYPERLINK("https://www.leilaoonline.net/lote/detalhe/160242", "581")</f>
      </c>
      <c r="B28" s="4" t="s">
        <f>=HYPERLINK("https://www.leilaoonline.net/lote/detalhe/160242", " MOTOBOMBA,ANO 1996, FR14005052, LOC. SANTA ELISA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=HYPERLINK("https://www.leilaoonline.net/lote/detalhe/160248", "594")</f>
      </c>
      <c r="B29" s="4" t="s">
        <f>=HYPERLINK("https://www.leilaoonline.net/lote/detalhe/160248", " CAIXA TRANSBORDO, ANO 2010, FR14003449, LOC.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=HYPERLINK("https://www.leilaoonline.net/lote/detalhe/160256", "595")</f>
      </c>
      <c r="B30" s="4" t="s">
        <f>=HYPERLINK("https://www.leilaoonline.net/lote/detalhe/160256", " CAIXA TRANSBORDO, ANO 2010, FR13004175, LOC. MB")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=HYPERLINK("https://www.leilaoonline.net/lote/detalhe/160258", "596")</f>
      </c>
      <c r="B31" s="4" t="s">
        <f>=HYPERLINK("https://www.leilaoonline.net/lote/detalhe/160258", " CAIXA TRANSBORDO, ANO 2010, FR13004174, LOC. MB")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=HYPERLINK("https://www.leilaoonline.net/lote/detalhe/160250", "597")</f>
      </c>
      <c r="B32" s="4" t="s">
        <f>=HYPERLINK("https://www.leilaoonline.net/lote/detalhe/160250", " CAIXA TRANSBORDO, ANO 2010, FR13004179, LOC. MB")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=HYPERLINK("https://www.leilaoonline.net/lote/detalhe/160252", "599")</f>
      </c>
      <c r="B33" s="4" t="s">
        <f>=HYPERLINK("https://www.leilaoonline.net/lote/detalhe/160252", " TRANSBORDO CIVEMASA, ANO 2010, FR13003069, LOC. MB")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=HYPERLINK("https://www.leilaoonline.net/lote/detalhe/160259", "600")</f>
      </c>
      <c r="B34" s="4" t="s">
        <f>=HYPERLINK("https://www.leilaoonline.net/lote/detalhe/160259", " TRANSBORDO CIVEMASA, ANO 2010, FR14003586, LOC. MB")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=HYPERLINK("https://www.leilaoonline.net/lote/detalhe/160263", "601")</f>
      </c>
      <c r="B35" s="4" t="s">
        <f>=HYPERLINK("https://www.leilaoonline.net/lote/detalhe/160263", " TRANSBORDO CIVEMASA, ANO 2010, FR13003065, LOC. MB")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=HYPERLINK("https://www.leilaoonline.net/lote/detalhe/160254", "602")</f>
      </c>
      <c r="B36" s="4" t="s">
        <f>=HYPERLINK("https://www.leilaoonline.net/lote/detalhe/160254", " TRANSBORDO SANTAL, ANO 2011, FR13003121,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=HYPERLINK("https://www.leilaoonline.net/lote/detalhe/160255", "604")</f>
      </c>
      <c r="B37" s="4" t="s">
        <f>=HYPERLINK("https://www.leilaoonline.net/lote/detalhe/160255", " TRANSBORDO , ANO 2011, FR13003113,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=HYPERLINK("https://www.leilaoonline.net/lote/detalhe/160251", "605")</f>
      </c>
      <c r="B38" s="4" t="s">
        <f>=HYPERLINK("https://www.leilaoonline.net/lote/detalhe/160251", " TRANSBORDO , ANO 2011, FR13003111,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=HYPERLINK("https://www.leilaoonline.net/lote/detalhe/160249", "606")</f>
      </c>
      <c r="B39" s="4" t="s">
        <f>=HYPERLINK("https://www.leilaoonline.net/lote/detalhe/160249", " TRANSBORDO SANTAL, ANO 2011, FR13003122,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=HYPERLINK("https://www.leilaoonline.net/lote/detalhe/160264", "609")</f>
      </c>
      <c r="B40" s="4" t="s">
        <f>=HYPERLINK("https://www.leilaoonline.net/lote/detalhe/160264", " CAIXA TRANSBORDO DUPLO SANTA IZABEL, S/FR, LOC. MB")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=HYPERLINK("https://www.leilaoonline.net/lote/detalhe/160260", "610")</f>
      </c>
      <c r="B41" s="4" t="s">
        <f>=HYPERLINK("https://www.leilaoonline.net/lote/detalhe/160260", " TRANSBORDO CIVEMASA, ANO 2010, FR14003455, LOC. MB")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=HYPERLINK("https://www.leilaoonline.net/lote/detalhe/160261", "612")</f>
      </c>
      <c r="B42" s="4" t="s">
        <f>=HYPERLINK("https://www.leilaoonline.net/lote/detalhe/160261", " TRANSBORDO CIVEMASA, ANO 2010, FR13003067, LOC. MB")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=HYPERLINK("https://www.leilaoonline.net/lote/detalhe/160233", "613")</f>
      </c>
      <c r="B43" s="4" t="s">
        <f>=HYPERLINK("https://www.leilaoonline.net/lote/detalhe/160233", " TRATOR VOLVO, ANO 2005, FR13002033, LOC. MB 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=HYPERLINK("https://www.leilaoonline.net/lote/detalhe/160241", "614")</f>
      </c>
      <c r="B44" s="4" t="s">
        <f>=HYPERLINK("https://www.leilaoonline.net/lote/detalhe/160241", " COLHEDORA CANA JOHN DEERE, ANO 2012, FR9002008, LOC. MB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=HYPERLINK("https://www.leilaoonline.net/lote/detalhe/160257", "615")</f>
      </c>
      <c r="B45" s="4" t="s">
        <f>=HYPERLINK("https://www.leilaoonline.net/lote/detalhe/160257", " COLHEDORA J.DEERE 3520, ANO 2011, FR1002018, LOC. MB")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=HYPERLINK("https://www.leilaoonline.net/lote/detalhe/160253", "618")</f>
      </c>
      <c r="B46" s="4" t="s">
        <f>=HYPERLINK("https://www.leilaoonline.net/lote/detalhe/160253", " COLHEDORA J.DEERE 3522, ANO 2014, FR12802126, LOC. MB")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=HYPERLINK("https://www.leilaoonline.net/lote/detalhe/160262", "621")</f>
      </c>
      <c r="B47" s="4" t="s">
        <f>=HYPERLINK("https://www.leilaoonline.net/lote/detalhe/160262", " HIDRO-ROLL, ANO 2007, FR1003470, LOC. Vale Rosário")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=HYPERLINK("https://www.leilaoonline.net/lote/detalhe/160232", "624")</f>
      </c>
      <c r="B48" s="4" t="s">
        <f>=HYPERLINK("https://www.leilaoonline.net/lote/detalhe/160232", "2 CARRETINHAS SERVIÇOS GERAIS, ANO 2016, FR11003804/FR11003799/,  LOC. VALE DO ROSÁRIO")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=HYPERLINK("https://www.leilaoonline.net/lote/detalhe/160237", "625")</f>
      </c>
      <c r="B49" s="4" t="s">
        <f>=HYPERLINK("https://www.leilaoonline.net/lote/detalhe/160237", "  2 CARRETINHA SERVIÇOS GERAIS, ANO 2016, FR11003792/FR11003797, LOC. VALE DO ROSÁRIO")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=HYPERLINK("https://www.leilaoonline.net/lote/detalhe/160108", "679")</f>
      </c>
      <c r="B50" s="4" t="s">
        <f>=HYPERLINK("https://www.leilaoonline.net/lote/detalhe/160108", "CAMINHÃO VOLVO/VM 260 6X4R, ANO 2011/2011, BRANCA , FR17010,OBS.( MOTOR DIVERGENTE) LOC. CAARAPÓ")</f>
      </c>
      <c r="C50" s="4" t="inlineStr">
        <is>
          <t>Não vendido</t>
        </is>
      </c>
      <c r="D50" s="4" t="inlineStr">
        <is>
          <t>46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=HYPERLINK("https://www.leilaoonline.net/lote/detalhe/160283", "684")</f>
      </c>
      <c r="B51" s="4" t="s">
        <f>=HYPERLINK("https://www.leilaoonline.net/lote/detalhe/160283", "TRANSBORDO P/ CANA PICADA TRIDEM, ANO 2008, FR45277, CAARAPÓ")</f>
      </c>
      <c r="C51" s="4" t="inlineStr">
        <is>
          <t>Não vendido</t>
        </is>
      </c>
      <c r="D51" s="4" t="inlineStr">
        <is>
          <t>72</t>
        </is>
      </c>
      <c r="E51" s="5" t="inlineStr">
        <is>
          <t>84.000,00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=HYPERLINK("https://www.leilaoonline.net/lote/detalhe/160514", "689")</f>
      </c>
      <c r="B52" s="4" t="s">
        <f>=HYPERLINK("https://www.leilaoonline.net/lote/detalhe/160514", "TRATOR VALTRA BH180, ANO 2010,  FR4435026 LOC. CAARAPÓ")</f>
      </c>
      <c r="C52" s="4" t="inlineStr">
        <is>
          <t>Vendido</t>
        </is>
      </c>
      <c r="D52" s="4" t="inlineStr">
        <is>
          <t>63</t>
        </is>
      </c>
      <c r="E52" s="5" t="inlineStr">
        <is>
          <t>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=HYPERLINK("https://www.leilaoonline.net/lote/detalhe/160515", "698")</f>
      </c>
      <c r="B53" s="4" t="s">
        <f>=HYPERLINK("https://www.leilaoonline.net/lote/detalhe/160515", "Trator Valtra Mod BH180, FR4437031, ANO 2010, LOC. CAARAPO")</f>
      </c>
      <c r="C53" s="4" t="inlineStr">
        <is>
          <t>Vendido</t>
        </is>
      </c>
      <c r="D53" s="4" t="inlineStr">
        <is>
          <t>64</t>
        </is>
      </c>
      <c r="E53" s="5" t="inlineStr">
        <is>
          <t>83.000,00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=HYPERLINK("https://www.leilaoonline.net/lote/detalhe/160103", "701")</f>
      </c>
      <c r="B54" s="4" t="s">
        <f>=HYPERLINK("https://www.leilaoonline.net/lote/detalhe/160103", " CAMINHÃO M.BENZ/AXOR 3344S 6X4, ANO 2016/2016, BRANCA, FR4415055, LOC. CAARAPÓ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=HYPERLINK("https://www.leilaoonline.net/lote/detalhe/160125", "703")</f>
      </c>
      <c r="B55" s="4" t="s">
        <f>=HYPERLINK("https://www.leilaoonline.net/lote/detalhe/160125", " CAMINHÃO M.BENZ/AXOR 3344S 6X4, ANO 2016/2017, BRANCA, FR4415048, LOC. CAARAPO 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78.000,00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=HYPERLINK("https://www.leilaoonline.net/lote/detalhe/161538", "708")</f>
      </c>
      <c r="B56" s="4" t="s">
        <f>=HYPERLINK("https://www.leilaoonline.net/lote/detalhe/161538", "SUCATA DE TRATOR J. DEERE 6190J, ( QUEIMADO )  ANO 2017, LOC. CAARAPÓ")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105.000,00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=HYPERLINK("https://www.leilaoonline.net/lote/detalhe/160104", "743")</f>
      </c>
      <c r="B57" s="4" t="s">
        <f>=HYPERLINK("https://www.leilaoonline.net/lote/detalhe/160104", " CAMINHÃO VOLVO/FM 500 6X4T, ANO 2013/2013, BRANCO. - FR4415044, LOC. CAARAPÓ")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72.000,00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=HYPERLINK("https://www.leilaoonline.net/lote/detalhe/160090", "744")</f>
      </c>
      <c r="B58" s="4" t="s">
        <f>=HYPERLINK("https://www.leilaoonline.net/lote/detalhe/160090", " CAMINHÃO M.BENZ/AXOR 3344S 6X4, ANO 2016/2017, BRANCA, FR4415050, LOC.CAARAPÓ")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=HYPERLINK("https://www.leilaoonline.net/lote/detalhe/160089", "752")</f>
      </c>
      <c r="B59" s="4" t="s">
        <f>=HYPERLINK("https://www.leilaoonline.net/lote/detalhe/160089", " CAMINHÃO VOLVO/FM12 380 6X4 T, ANO 2005/2005, BRANCA, FR4410752, LOC. CAARAPO")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=HYPERLINK("https://www.leilaoonline.net/lote/detalhe/160329", "767")</f>
      </c>
      <c r="B60" s="4" t="s">
        <f>=HYPERLINK("https://www.leilaoonline.net/lote/detalhe/160329", "TRANSBORDO CIVEMASA MOD. TAC 10500, ANO 2015, FRFR4447009, LOC. CAARAPÓ")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=HYPERLINK("https://www.leilaoonline.net/lote/detalhe/160282", "769")</f>
      </c>
      <c r="B61" s="4" t="s">
        <f>=HYPERLINK("https://www.leilaoonline.net/lote/detalhe/160282", "TRANSBORDO TRIDEM BIPARTIDO STA. ISABEL, FR4441990, LOC. CAARAPO")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28.500,00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=HYPERLINK("https://www.leilaoonline.net/lote/detalhe/160601", "808")</f>
      </c>
      <c r="B62" s="4" t="s">
        <f>=HYPERLINK("https://www.leilaoonline.net/lote/detalhe/160601", "SEMI-REBOQUE  USICAMP SRCP E2 10000 . ANO 2008/2008. AZUL - FR4493393. - LOC. CAARAPÓ/MS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=HYPERLINK("https://www.leilaoonline.net/lote/detalhe/160285", "810")</f>
      </c>
      <c r="B63" s="4" t="s">
        <f>=HYPERLINK("https://www.leilaoonline.net/lote/detalhe/160285", "TRANSBORDO AGRÍCOLA DE ARRASTO AUTOESTER, ANO 2016, FR4445256, LOC. CAARAPÓ")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=HYPERLINK("https://www.leilaoonline.net/lote/detalhe/161437", "812")</f>
      </c>
      <c r="B64" s="4" t="s">
        <f>=HYPERLINK("https://www.leilaoonline.net/lote/detalhe/161437", "TRANSBORDO CIVEMASA , AGRICOLA DE ARRASTO AUTOESTER, ANO 2016, FR4445247, LOC. CAARAPÓ")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=HYPERLINK("https://www.leilaoonline.net/lote/detalhe/160281", "840")</f>
      </c>
      <c r="B65" s="4" t="s">
        <f>=HYPERLINK("https://www.leilaoonline.net/lote/detalhe/160281", "TRANSBORDO AGRICOLA DE ARRASTO,  Autoester, ANO 2016, FRFR4435157, LOC. CAARAPO")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=HYPERLINK("https://www.leilaoonline.net/lote/detalhe/161646", "845")</f>
      </c>
      <c r="B66" s="4" t="s">
        <f>=HYPERLINK("https://www.leilaoonline.net/lote/detalhe/161646", "CONDENSADOR BAROMETRICO 30 T H N 01, FR24381, LOC. RIO BRILHANTE / MS")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=HYPERLINK("https://www.leilaoonline.net/lote/detalhe/161647", "846")</f>
      </c>
      <c r="B67" s="4" t="s">
        <f>=HYPERLINK("https://www.leilaoonline.net/lote/detalhe/161647", "CONDENSADOR BAROMETRICO 30 T H N 2, FR24406, LOC. RIO BRILHANTE/MS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=HYPERLINK("https://www.leilaoonline.net/lote/detalhe/161648", "847")</f>
      </c>
      <c r="B68" s="4" t="s">
        <f>=HYPERLINK("https://www.leilaoonline.net/lote/detalhe/161648", "CONDENSADOR BAROMETRICO 30 T H N 3, FR24431, LOC. RIO BRILHANTE/MS")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=HYPERLINK("https://www.leilaoonline.net/lote/detalhe/161649", "848")</f>
      </c>
      <c r="B69" s="4" t="s">
        <f>=HYPERLINK("https://www.leilaoonline.net/lote/detalhe/161649", "CONDENSADOR BAROMETRICO 30 T H N 4, FR24445, LOC. RIO BRILHANTE/MS")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=HYPERLINK("https://www.leilaoonline.net/lote/detalhe/161650", "849")</f>
      </c>
      <c r="B70" s="4" t="s">
        <f>=HYPERLINK("https://www.leilaoonline.net/lote/detalhe/161650", "Sucata  de tubos de evaporação aprox..12 ton., (venda por KG), LOC. RIO BRILHANTE /MS")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16.800,00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=HYPERLINK("https://www.leilaoonline.net/lote/detalhe/161652", "850")</f>
      </c>
      <c r="B71" s="4" t="s">
        <f>=HYPERLINK("https://www.leilaoonline.net/lote/detalhe/161652", "S.REBOQUE USICAMP ( RODOMUDA) SRCP E2 10000, ANO 2005/2005, FR5004784, LOC. CAARAPÓ")</f>
      </c>
      <c r="C71" s="4" t="inlineStr">
        <is>
          <t>Vendido</t>
        </is>
      </c>
      <c r="D71" s="4" t="inlineStr">
        <is>
          <t>6</t>
        </is>
      </c>
      <c r="E71" s="5" t="inlineStr">
        <is>
          <t>17.000,00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=HYPERLINK("https://www.leilaoonline.net/lote/detalhe/160588", "906")</f>
      </c>
      <c r="B72" s="4" t="s">
        <f>=HYPERLINK("https://www.leilaoonline.net/lote/detalhe/160588", " TRANSBORDO TAC 13000, ANO 2007. - FR.5004750 . -LOC. PASSATEMPO/MS")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=HYPERLINK("https://www.leilaoonline.net/lote/detalhe/160589", "908")</f>
      </c>
      <c r="B73" s="4" t="s">
        <f>=HYPERLINK("https://www.leilaoonline.net/lote/detalhe/160589", " TRANSB VT 10 ARRASTE TRAT, ANO 2012. - FR. 5003039. - LOC. PASSATEMPO/MS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=HYPERLINK("https://www.leilaoonline.net/lote/detalhe/160590", "914")</f>
      </c>
      <c r="B74" s="4" t="s">
        <f>=HYPERLINK("https://www.leilaoonline.net/lote/detalhe/160590", " TRANSBORDO TAC 13000, ANO 2008. - FR.5004802 . -LOC. PASSATEMPO/MS")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=HYPERLINK("https://www.leilaoonline.net/lote/detalhe/160596", "926")</f>
      </c>
      <c r="B75" s="4" t="s">
        <f>=HYPERLINK("https://www.leilaoonline.net/lote/detalhe/160596", " TRANSB VT 10 ARRASTE TRAT, ANO 2012. - FR. 5003038. - LOC. PASSATEMPO/MS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=HYPERLINK("https://www.leilaoonline.net/lote/detalhe/160593", "928")</f>
      </c>
      <c r="B76" s="4" t="s">
        <f>=HYPERLINK("https://www.leilaoonline.net/lote/detalhe/160593", " TRANSB SANTAL VT 10 ARRASTE TRAT, ANO 2010. - FR. 5004767. - LOC. PASSATEMPO/MS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=HYPERLINK("https://www.leilaoonline.net/lote/detalhe/160595", "953")</f>
      </c>
      <c r="B77" s="4" t="s">
        <f>=HYPERLINK("https://www.leilaoonline.net/lote/detalhe/160595", " TRANSBORDO SANTAL VT-10 - FR. 1003051. - LOC. RIO BRILHANTE/MS")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=HYPERLINK("https://www.leilaoonline.net/lote/detalhe/160597", "958")</f>
      </c>
      <c r="B78" s="4" t="s">
        <f>=HYPERLINK("https://www.leilaoonline.net/lote/detalhe/160597", " TRANSBORDO RCAM 10000KG 24M³ 4700X355. - FR. 5004756. - LOC. RIO BRILHANTE/MS")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=HYPERLINK("https://www.leilaoonline.net/lote/detalhe/160591", "959")</f>
      </c>
      <c r="B79" s="4" t="s">
        <f>=HYPERLINK("https://www.leilaoonline.net/lote/detalhe/160591", " TRANSBORDO ARR 10500KG 24M³ 4700X3550MM 7350KG,. - FR. 9003055. - LOC. RIO BRILHANTE/MS")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=HYPERLINK("https://www.leilaoonline.net/lote/detalhe/160592", "960")</f>
      </c>
      <c r="B80" s="4" t="s">
        <f>=HYPERLINK("https://www.leilaoonline.net/lote/detalhe/160592", " TRANSBORDO ARR 10500KG 24M³ 4700X3550MM 7350KG. - FR. 9003050. - LOC. RIO BRILHANTE/MS")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=HYPERLINK("https://www.leilaoonline.net/lote/detalhe/160594", "962")</f>
      </c>
      <c r="B81" s="4" t="s">
        <f>=HYPERLINK("https://www.leilaoonline.net/lote/detalhe/160594", " TRANSB VT 10 ARRASTE TRAT , ANO 2012. - FR. 5003031. - LOC. RIO BRILHANTE/MS")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=HYPERLINK("https://www.leilaoonline.net/lote/detalhe/161432", "1009")</f>
      </c>
      <c r="B82" s="4" t="s">
        <f>=HYPERLINK("https://www.leilaoonline.net/lote/detalhe/161432", " S.REBOQUE USICAMP SRCP E2 10000, ANO 2088/2008, AZUL, FR46852,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=HYPERLINK("https://www.leilaoonline.net/lote/detalhe/160558", "1011")</f>
      </c>
      <c r="B83" s="4" t="s">
        <f>=HYPERLINK("https://www.leilaoonline.net/lote/detalhe/160558", " REBOQUE RANDONSP RQ CA, ANO 2010/2010, AZUL , FR46873,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=HYPERLINK("https://www.leilaoonline.net/lote/detalhe/160583", "1013")</f>
      </c>
      <c r="B84" s="4" t="s">
        <f>=HYPERLINK("https://www.leilaoonline.net/lote/detalhe/160583", " S.REBOQUE USICAMP SRCP E2 10000, ANO 2008/2008, AZUL, FR121449 ,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=HYPERLINK("https://www.leilaoonline.net/lote/detalhe/160584", "1022")</f>
      </c>
      <c r="B85" s="4" t="s">
        <f>=HYPERLINK("https://www.leilaoonline.net/lote/detalhe/160584", " REBOQUE RANDONSP RQ CA, ANO 2010/2010, AZUL, FR46885,( SINISTRADO/RECUPERADO) 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=HYPERLINK("https://www.leilaoonline.net/lote/detalhe/160585", "1023")</f>
      </c>
      <c r="B86" s="4" t="s">
        <f>=HYPERLINK("https://www.leilaoonline.net/lote/detalhe/160585", "REBOQUE RANDONSP RQ CA, ANO 2013/2014, CINZA, FR46968, LOC. IPAUSSU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=HYPERLINK("https://www.leilaoonline.net/lote/detalhe/160586", "1025")</f>
      </c>
      <c r="B87" s="4" t="s">
        <f>=HYPERLINK("https://www.leilaoonline.net/lote/detalhe/160586", "REBOQUE  RANDONSP RQ CA , ANO 2012/2012, AZUL , FR46938, LOC. IPAUSSU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=HYPERLINK("https://www.leilaoonline.net/lote/detalhe/160441", "1164")</f>
      </c>
      <c r="B88" s="4" t="s">
        <f>=HYPERLINK("https://www.leilaoonline.net/lote/detalhe/160441", "S.REBOQUE USICAMP SRCP E2 1000, ANO 2002/2002, AMARELA, FR4451065, LOC. CAARAPO/MS")</f>
      </c>
      <c r="C88" s="4" t="inlineStr">
        <is>
          <t>Vendido</t>
        </is>
      </c>
      <c r="D88" s="4" t="inlineStr">
        <is>
          <t>28</t>
        </is>
      </c>
      <c r="E88" s="5" t="inlineStr">
        <is>
          <t>39.000,00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=HYPERLINK("https://www.leilaoonline.net/lote/detalhe/160599", "1173")</f>
      </c>
      <c r="B89" s="4" t="s">
        <f>=HYPERLINK("https://www.leilaoonline.net/lote/detalhe/160599", "S.REBOQUE  RANDON 12,50 M, ANO 2010/2011, AMARELA. - FR51267. - LOC. CAARAPÓ/MS")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=HYPERLINK("https://www.leilaoonline.net/lote/detalhe/160513", "1174")</f>
      </c>
      <c r="B90" s="4" t="s">
        <f>=HYPERLINK("https://www.leilaoonline.net/lote/detalhe/160513", "S.REBOQUE SR CA, ANO 2007/2007, AZUL, FR96212, LOC. CAARAPÓ")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=HYPERLINK("https://www.leilaoonline.net/lote/detalhe/160443", "1176")</f>
      </c>
      <c r="B91" s="4" t="s">
        <f>=HYPERLINK("https://www.leilaoonline.net/lote/detalhe/160443", "S.REBOQUE/USICAMP SRCP E2 10000, ANO 2012/2012, AMARELA,FR4455060, LOC. CAARAPO")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=HYPERLINK("https://www.leilaoonline.net/lote/detalhe/160444", "1177")</f>
      </c>
      <c r="B92" s="4" t="s">
        <f>=HYPERLINK("https://www.leilaoonline.net/lote/detalhe/160444", "S.REBOQUE/USICAMP SRCP E2 10000, ANO 2009/2009, AZUL, FR4455132, LOC. CAARAPO")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=HYPERLINK("https://www.leilaoonline.net/lote/detalhe/160442", "1178")</f>
      </c>
      <c r="B93" s="4" t="s">
        <f>=HYPERLINK("https://www.leilaoonline.net/lote/detalhe/160442", "S.REBOQUE/USICAMP SRCP E2 10000, ANO 2005/2005, AMARELA, FR4451085, LOC. CAARAPÓ")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=HYPERLINK("https://www.leilaoonline.net/lote/detalhe/160440", "1183")</f>
      </c>
      <c r="B94" s="4" t="s">
        <f>=HYPERLINK("https://www.leilaoonline.net/lote/detalhe/160440", "S. REBOQUE RANDON SRCA CA, ANO 2008/2008, AMARELA, FR4451060, LOC. CAARAPÓ")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=HYPERLINK("https://www.leilaoonline.net/lote/detalhe/160598", "1186")</f>
      </c>
      <c r="B95" s="4" t="s">
        <f>=HYPERLINK("https://www.leilaoonline.net/lote/detalhe/160598", "S.REBOQUE  RANDON 12,50 M, ANO 2008/2008., AMARELA - FR51164.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=HYPERLINK("https://www.leilaoonline.net/lote/detalhe/160600", "1195")</f>
      </c>
      <c r="B96" s="4" t="s">
        <f>=HYPERLINK("https://www.leilaoonline.net/lote/detalhe/160600", " S.REBOQUE  RANDON 12,50 M, ANO 2010/2011, AMARELA - FR51282.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=HYPERLINK("https://www.leilaoonline.net/lote/detalhe/160606", "1231")</f>
      </c>
      <c r="B97" s="4" t="s">
        <f>=HYPERLINK("https://www.leilaoonline.net/lote/detalhe/160606", " HONDA BROS KS 150CC. ANO 2006/2007, VERMELHA - FR5006074. - LOC. PASSATEMPO")</f>
      </c>
      <c r="C97" s="4" t="inlineStr">
        <is>
          <t>Vendido</t>
        </is>
      </c>
      <c r="D97" s="4" t="inlineStr">
        <is>
          <t>9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=HYPERLINK("https://www.leilaoonline.net/lote/detalhe/160109", "1235")</f>
      </c>
      <c r="B98" s="4" t="s">
        <f>=HYPERLINK("https://www.leilaoonline.net/lote/detalhe/160109", "Trator Valtra mod BH210I 4x4 210CV,FR4435080, ANO 2015,  LOC, CAARAPÓ,")</f>
      </c>
      <c r="C98" s="4" t="inlineStr">
        <is>
          <t>Não vendido</t>
        </is>
      </c>
      <c r="D98" s="4" t="inlineStr">
        <is>
          <t>72</t>
        </is>
      </c>
      <c r="E98" s="5" t="inlineStr">
        <is>
          <t>172.000,00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=HYPERLINK("https://www.leilaoonline.net/lote/detalhe/160119", "1236")</f>
      </c>
      <c r="B99" s="4" t="s">
        <f>=HYPERLINK("https://www.leilaoonline.net/lote/detalhe/160119", "Trator Valtra Mod.BH 180, FR4430982, ANO 2010, LOC. CAARAPÓ")</f>
      </c>
      <c r="C99" s="4" t="inlineStr">
        <is>
          <t>Vendido</t>
        </is>
      </c>
      <c r="D99" s="4" t="inlineStr">
        <is>
          <t>72</t>
        </is>
      </c>
      <c r="E99" s="5" t="inlineStr">
        <is>
          <t>96.000,00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=HYPERLINK("https://www.leilaoonline.net/lote/detalhe/160113", "1237")</f>
      </c>
      <c r="B100" s="4" t="s">
        <f>=HYPERLINK("https://www.leilaoonline.net/lote/detalhe/160113", " FIAT/STRADA WORKING CD, ANO 2015/2016, BRANCA, FR4425061, LOC. CAARAPÓ")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11.750,00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=HYPERLINK("https://www.leilaoonline.net/lote/detalhe/160102", "1238")</f>
      </c>
      <c r="B101" s="4" t="s">
        <f>=HYPERLINK("https://www.leilaoonline.net/lote/detalhe/160102", " VW/ SAVEIRO RB MBVS, ANO 2016/2017, BRANCA,FR4425076, LOC. CAARAPÓ")</f>
      </c>
      <c r="C101" s="4" t="inlineStr">
        <is>
          <t>Vendido</t>
        </is>
      </c>
      <c r="D101" s="4" t="inlineStr">
        <is>
          <t>54</t>
        </is>
      </c>
      <c r="E101" s="5" t="inlineStr">
        <is>
          <t>22.500,00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=HYPERLINK("https://www.leilaoonline.net/lote/detalhe/160132", "1239")</f>
      </c>
      <c r="B102" s="4" t="s">
        <f>=HYPERLINK("https://www.leilaoonline.net/lote/detalhe/160132", " VW. KOMBI, ANO 2013/2014, BRANCA, FR4425097, LOC. CAARAPÓ")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=HYPERLINK("https://www.leilaoonline.net/lote/detalhe/160663", "1240")</f>
      </c>
      <c r="B103" s="4" t="s">
        <f>=HYPERLINK("https://www.leilaoonline.net/lote/detalhe/160663", "FIAT/STRADA HD WK CC E , ANO 2018/2019, BRANCA, FR4425104, LOC CAARAPO")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=HYPERLINK("https://www.leilaoonline.net/lote/detalhe/160131", "1241")</f>
      </c>
      <c r="B104" s="4" t="s">
        <f>=HYPERLINK("https://www.leilaoonline.net/lote/detalhe/160131", " FIAT/PALIO FIRE WAY, ANO 2016/2016, BRANCA , FR4425067, LOC. CAARAPÓ")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=HYPERLINK("https://www.leilaoonline.net/lote/detalhe/160120", "1242")</f>
      </c>
      <c r="B105" s="4" t="s">
        <f>=HYPERLINK("https://www.leilaoonline.net/lote/detalhe/160120", " VW/ KOMBI , ANO 2013/2014, BRANCA, FR4425093,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=HYPERLINK("https://www.leilaoonline.net/lote/detalhe/160092", "1243")</f>
      </c>
      <c r="B106" s="4" t="s">
        <f>=HYPERLINK("https://www.leilaoonline.net/lote/detalhe/160092", " VW. KOMBI ANO 2013/2013, BRANCA, FR4425100, LOC. CAARAPÓ")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8.500,00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=HYPERLINK("https://www.leilaoonline.net/lote/detalhe/160147", "1244")</f>
      </c>
      <c r="B107" s="4" t="s">
        <f>=HYPERLINK("https://www.leilaoonline.net/lote/detalhe/160147", "VW/KOMBI, ANO 2013/2014, BRANCA , FR4425095, LOC. CAARAPÓ")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=HYPERLINK("https://www.leilaoonline.net/lote/detalhe/160128", "1245")</f>
      </c>
      <c r="B108" s="4" t="s">
        <f>=HYPERLINK("https://www.leilaoonline.net/lote/detalhe/160128", " FIAT/UNO MILLE WAY ECON., ANO 2012/2013, BRANCA, FR4425053, LOC. CAARAPÓ")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=HYPERLINK("https://www.leilaoonline.net/lote/detalhe/160130", "1246")</f>
      </c>
      <c r="B109" s="4" t="s">
        <f>=HYPERLINK("https://www.leilaoonline.net/lote/detalhe/160130", " FIAT/STRADA WORKING, ANO 2015/2016, BRANCA, FR4425069, LOC. CAARAPÓ ")</f>
      </c>
      <c r="C109" s="4" t="inlineStr">
        <is>
          <t>Não vendido</t>
        </is>
      </c>
      <c r="D109" s="4" t="inlineStr">
        <is>
          <t>19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=HYPERLINK("https://www.leilaoonline.net/lote/detalhe/160123", "1247")</f>
      </c>
      <c r="B110" s="4" t="s">
        <f>=HYPERLINK("https://www.leilaoonline.net/lote/detalhe/160123", " FIAT/PALIO FIRE WAY, ANO 2016/2016, BRANCA, FR4425068, LOC. CAARAPÓ")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=HYPERLINK("https://www.leilaoonline.net/lote/detalhe/160114", "1248")</f>
      </c>
      <c r="B111" s="4" t="s">
        <f>=HYPERLINK("https://www.leilaoonline.net/lote/detalhe/160114", " FIAT/PALIO FIRE WAY, ANO 2016/2016, BRANCA , FR4425063, LOC. CAARAPÓ")</f>
      </c>
      <c r="C111" s="4" t="inlineStr">
        <is>
          <t>Não vendido</t>
        </is>
      </c>
      <c r="D111" s="4" t="inlineStr">
        <is>
          <t>20</t>
        </is>
      </c>
      <c r="E111" s="5" t="inlineStr">
        <is>
          <t>12.750,00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=HYPERLINK("https://www.leilaoonline.net/lote/detalhe/160091", "1249")</f>
      </c>
      <c r="B112" s="4" t="s">
        <f>=HYPERLINK("https://www.leilaoonline.net/lote/detalhe/160091", " FIAT/PALIO FIRE WAY, ANO 2017/2017, BRANCA, FR4425086,( VEÍCULO RESGISTRADO COM PLACA MERCOSUL, POREM ESTÁ COM PLACA ANTIGA)  LOC. CAARAPÓ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11.000,00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=HYPERLINK("https://www.leilaoonline.net/lote/detalhe/160134", "1251")</f>
      </c>
      <c r="B113" s="4" t="s">
        <f>=HYPERLINK("https://www.leilaoonline.net/lote/detalhe/160134", " TRANSBORDO CIVEMASA, FR45129, LOC. CAARAPÓ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=HYPERLINK("https://www.leilaoonline.net/lote/detalhe/160126", "1252")</f>
      </c>
      <c r="B114" s="4" t="s">
        <f>=HYPERLINK("https://www.leilaoonline.net/lote/detalhe/160126", " CAMINHÃO VOLVO/FM 500 6X4T, ANO 2013/2013, BRANCA, FR4415030, LOC. CAARAPÓ ")</f>
      </c>
      <c r="C114" s="4" t="inlineStr">
        <is>
          <t>Não vendido</t>
        </is>
      </c>
      <c r="D114" s="4" t="inlineStr">
        <is>
          <t>55</t>
        </is>
      </c>
      <c r="E114" s="5" t="inlineStr">
        <is>
          <t>94.000,00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=HYPERLINK("https://www.leilaoonline.net/lote/detalhe/160121", "1253")</f>
      </c>
      <c r="B115" s="4" t="s">
        <f>=HYPERLINK("https://www.leilaoonline.net/lote/detalhe/160121", " CAMINHÃO M. BENZ/AXOR 3344S 6X4, ANO 2016/2017, BRANCA, FR4415049, LOC. CAARAPÓ")</f>
      </c>
      <c r="C115" s="4" t="inlineStr">
        <is>
          <t>Não vendido</t>
        </is>
      </c>
      <c r="D115" s="4" t="inlineStr">
        <is>
          <t>27</t>
        </is>
      </c>
      <c r="E115" s="5" t="inlineStr">
        <is>
          <t>126.000,00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=HYPERLINK("https://www.leilaoonline.net/lote/detalhe/160133", "1254")</f>
      </c>
      <c r="B116" s="4" t="s">
        <f>=HYPERLINK("https://www.leilaoonline.net/lote/detalhe/160133", " MOTOR P/ BM100, LOC. CAARAPÓ")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8.500,00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=HYPERLINK("https://www.leilaoonline.net/lote/detalhe/160094", "1255")</f>
      </c>
      <c r="B117" s="4" t="s">
        <f>=HYPERLINK("https://www.leilaoonline.net/lote/detalhe/160094", " TRATOR J.DEERE , MOD. 6180J, ANO 2016,  FR4455130, LOC. CAARAPÓ")</f>
      </c>
      <c r="C117" s="4" t="inlineStr">
        <is>
          <t>Vendido</t>
        </is>
      </c>
      <c r="D117" s="4" t="inlineStr">
        <is>
          <t>82</t>
        </is>
      </c>
      <c r="E117" s="5" t="inlineStr">
        <is>
          <t>97.000,00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=HYPERLINK("https://www.leilaoonline.net/lote/detalhe/160107", "1257")</f>
      </c>
      <c r="B118" s="4" t="s">
        <f>=HYPERLINK("https://www.leilaoonline.net/lote/detalhe/160107", " CAMINHÃO M.BENZ/AXOR 3344S 6X4, ANO 2016/2017, BRANCA, FR4415053, LOC. CAARAPÓ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=HYPERLINK("https://www.leilaoonline.net/lote/detalhe/160122", "1258")</f>
      </c>
      <c r="B119" s="4" t="s">
        <f>=HYPERLINK("https://www.leilaoonline.net/lote/detalhe/160122", " CAMINHÃO VW./26.220 EURO 3 WORKER, ANO 2007/2007, BRANCA, FR4415002, ( VEICULO SEM CARROCERIA ) LOC. CAARAPÓ")</f>
      </c>
      <c r="C119" s="4" t="inlineStr">
        <is>
          <t>Não vendido</t>
        </is>
      </c>
      <c r="D119" s="4" t="inlineStr">
        <is>
          <t>68</t>
        </is>
      </c>
      <c r="E119" s="5" t="inlineStr">
        <is>
          <t>92.000,00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=HYPERLINK("https://www.leilaoonline.net/lote/detalhe/160118", "1259")</f>
      </c>
      <c r="B120" s="4" t="s">
        <f>=HYPERLINK("https://www.leilaoonline.net/lote/detalhe/160118", " CAMINHÃO VOLVO/VM 260 6X4 R, ANO 2010/2011, BRANCA, FR4415013, LOC. CAARAPO ")</f>
      </c>
      <c r="C120" s="4" t="inlineStr">
        <is>
          <t>Não vendido</t>
        </is>
      </c>
      <c r="D120" s="4" t="inlineStr">
        <is>
          <t>111</t>
        </is>
      </c>
      <c r="E120" s="5" t="inlineStr">
        <is>
          <t>168.000,00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=HYPERLINK("https://www.leilaoonline.net/lote/detalhe/160116", "1260")</f>
      </c>
      <c r="B121" s="4" t="s">
        <f>=HYPERLINK("https://www.leilaoonline.net/lote/detalhe/160116", " CAMINHÃO VOLVO/VM 260 6X4R, ANO 2011/2011, BRANCA, FR4415023, LOC. CAARAPÓ")</f>
      </c>
      <c r="C121" s="4" t="inlineStr">
        <is>
          <t>Vendido</t>
        </is>
      </c>
      <c r="D121" s="4" t="inlineStr">
        <is>
          <t>172</t>
        </is>
      </c>
      <c r="E121" s="5" t="inlineStr">
        <is>
          <t>214.000,00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=HYPERLINK("https://www.leilaoonline.net/lote/detalhe/160115", "1261")</f>
      </c>
      <c r="B122" s="4" t="s">
        <f>=HYPERLINK("https://www.leilaoonline.net/lote/detalhe/160115", " CAMINHÃO VW/26.260 E, ANO 2008/2008, BRANCO FR4415047, obs. ( VENDA SEM CARROCERIA )  . LOC. CAARAPÓ")</f>
      </c>
      <c r="C122" s="4" t="inlineStr">
        <is>
          <t>Vendido</t>
        </is>
      </c>
      <c r="D122" s="4" t="inlineStr">
        <is>
          <t>58</t>
        </is>
      </c>
      <c r="E122" s="5" t="inlineStr">
        <is>
          <t>82.000,00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=HYPERLINK("https://www.leilaoonline.net/lote/detalhe/160097", "1262")</f>
      </c>
      <c r="B123" s="4" t="s">
        <f>=HYPERLINK("https://www.leilaoonline.net/lote/detalhe/160097", " CAMINHÃO VOLVO/VM 260 6X4R, ANO 2011/2011, BRANCA,  (CARR. COMBOIO: 55046 ) FR4415022, LOC. CAARAPÓ")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163.000,00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=HYPERLINK("https://www.leilaoonline.net/lote/detalhe/160095", "1263")</f>
      </c>
      <c r="B124" s="4" t="s">
        <f>=HYPERLINK("https://www.leilaoonline.net/lote/detalhe/160095", " CAMINHÃO VW/15.180 EURO3 WORKER , ANO 2006/2006, BRANCA, FR139260, LOC. CAARAPÓ")</f>
      </c>
      <c r="C124" s="4" t="inlineStr">
        <is>
          <t>Vendido</t>
        </is>
      </c>
      <c r="D124" s="4" t="inlineStr">
        <is>
          <t>32</t>
        </is>
      </c>
      <c r="E124" s="5" t="inlineStr">
        <is>
          <t>56.000,00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=HYPERLINK("https://www.leilaoonline.net/lote/detalhe/160112", "1264")</f>
      </c>
      <c r="B125" s="4" t="s">
        <f>=HYPERLINK("https://www.leilaoonline.net/lote/detalhe/160112", " CAMINHÃO M.BENZ/L 1318, ANO 2007/2007, BRANCA, BAÚ,  FR15008, CARROC. BAU, LOC. CAARAPÓ")</f>
      </c>
      <c r="C125" s="4" t="inlineStr">
        <is>
          <t>Não vendido</t>
        </is>
      </c>
      <c r="D125" s="4" t="inlineStr">
        <is>
          <t>13</t>
        </is>
      </c>
      <c r="E125" s="5" t="inlineStr">
        <is>
          <t>38.000,00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=HYPERLINK("https://www.leilaoonline.net/lote/detalhe/160088", "1265")</f>
      </c>
      <c r="B126" s="4" t="s">
        <f>=HYPERLINK("https://www.leilaoonline.net/lote/detalhe/160088", " CAMINHÃO M.BENZ/LS 2638, ANO 2000/2000, BRANCA, ( CARR. PIPA 55081) FR4414620, LOC. CAARAPÓ")</f>
      </c>
      <c r="C126" s="4" t="inlineStr">
        <is>
          <t>Não vendido</t>
        </is>
      </c>
      <c r="D126" s="4" t="inlineStr">
        <is>
          <t>136</t>
        </is>
      </c>
      <c r="E126" s="5" t="inlineStr">
        <is>
          <t>175.000,00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=HYPERLINK("https://www.leilaoonline.net/lote/detalhe/160093", "1266")</f>
      </c>
      <c r="B127" s="4" t="s">
        <f>=HYPERLINK("https://www.leilaoonline.net/lote/detalhe/160093", " CAMINHAO VOLVO/VM 260 6X4R, ANO 2011/2011, BRANCA,  ( CARR. BAZUKA: 55082 )FR4415024, LOC. CAARAPÓ")</f>
      </c>
      <c r="C127" s="4" t="inlineStr">
        <is>
          <t>Não vendido</t>
        </is>
      </c>
      <c r="D127" s="4" t="inlineStr">
        <is>
          <t>59</t>
        </is>
      </c>
      <c r="E127" s="5" t="inlineStr">
        <is>
          <t>93.000,00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=HYPERLINK("https://www.leilaoonline.net/lote/detalhe/160127", "1267")</f>
      </c>
      <c r="B128" s="4" t="s">
        <f>=HYPERLINK("https://www.leilaoonline.net/lote/detalhe/160127", " GRADE NIVELADORA 42X20 discos marca bald, FR4441871,,LOC. CAARAPÓ")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14.500,00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=HYPERLINK("https://www.leilaoonline.net/lote/detalhe/160111", "1268")</f>
      </c>
      <c r="B129" s="4" t="s">
        <f>=HYPERLINK("https://www.leilaoonline.net/lote/detalhe/160111", " GM/S10 2.4 RONTAN AMB., ANO 2007/2008, BRANCA , FR5006018, LOC. RIO BRILHANTE 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18.000,00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=HYPERLINK("https://www.leilaoonline.net/lote/detalhe/160117", "1269")</f>
      </c>
      <c r="B130" s="4" t="s">
        <f>=HYPERLINK("https://www.leilaoonline.net/lote/detalhe/160117", "CARRETINHA TANQUE (FABRICAÇÃO PROPRIA) S/ FR, LOC. RIO BRILHANTE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=HYPERLINK("https://www.leilaoonline.net/lote/detalhe/160110", "1270")</f>
      </c>
      <c r="B131" s="4" t="s">
        <f>=HYPERLINK("https://www.leilaoonline.net/lote/detalhe/160110", "AREA DE VIVÊNCIA, FR5004604, OBS: ( CHASSI DANIFICADO / COR DIVIRGENTE ) LOC. RIO BRILHANTE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=HYPERLINK("https://www.leilaoonline.net/lote/detalhe/160101", "1271")</f>
      </c>
      <c r="B132" s="4" t="s">
        <f>=HYPERLINK("https://www.leilaoonline.net/lote/detalhe/160101", " HIDROROLL 125/450 G4 TURBO MAQ. ANO 2007, FR505756, LOC. RIO BRILHANTE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=HYPERLINK("https://www.leilaoonline.net/lote/detalhe/160096", "1272")</f>
      </c>
      <c r="B133" s="4" t="s">
        <f>=HYPERLINK("https://www.leilaoonline.net/lote/detalhe/160096", " HIDROROLL 125/450 G4 TURBO MAQ. ANO 2007, FR9003011, LOC. RIO BRILHANTE HIDROROLL 125/450 G4 TURBO MAQ. ANO 2007, FR9003011, LOC. RIO BRILHANTE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=HYPERLINK("https://www.leilaoonline.net/lote/detalhe/160129", "1273")</f>
      </c>
      <c r="B134" s="4" t="s">
        <f>=HYPERLINK("https://www.leilaoonline.net/lote/detalhe/160129", "SUCATA DE TRATOR JHON DEERE MOD.7230, S/FR, LOC. RIO BRILHANTE ")</f>
      </c>
      <c r="C134" s="4" t="inlineStr">
        <is>
          <t>Vendido</t>
        </is>
      </c>
      <c r="D134" s="4" t="inlineStr">
        <is>
          <t>52</t>
        </is>
      </c>
      <c r="E134" s="5" t="inlineStr">
        <is>
          <t>38.000,00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=HYPERLINK("https://www.leilaoonline.net/lote/detalhe/160100", "1274")</f>
      </c>
      <c r="B135" s="4" t="s">
        <f>=HYPERLINK("https://www.leilaoonline.net/lote/detalhe/160100", "1 TANQUE DE PLASTICO 2 MIL LITROS, 1 TANQUE DE AÇO 5 MIL LITROS, LOC. RIO BRILHANTE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=HYPERLINK("https://www.leilaoonline.net/lote/detalhe/160105", "1275")</f>
      </c>
      <c r="B136" s="4" t="s">
        <f>=HYPERLINK("https://www.leilaoonline.net/lote/detalhe/160105", " 110 UNDS. APROX. DE RODAS , CAMPANAS E RODAS , LOC. RIO BRILHANTE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=HYPERLINK("https://www.leilaoonline.net/lote/detalhe/160124", "1276")</f>
      </c>
      <c r="B137" s="4" t="s">
        <f>=HYPERLINK("https://www.leilaoonline.net/lote/detalhe/160124", " AREA DE VIVENCIA - FAB. PRÓPRIA, (VENDA SEM DOCUMENTO), S/FR, LOC . RIO BRILHANTE 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=HYPERLINK("https://www.leilaoonline.net/lote/detalhe/160106", "1277")</f>
      </c>
      <c r="B138" s="4" t="s">
        <f>=HYPERLINK("https://www.leilaoonline.net/lote/detalhe/160106", " TANQUE FERRO APROX. 8000 LTS, S/FR,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=HYPERLINK("https://www.leilaoonline.net/lote/detalhe/160503", "1282")</f>
      </c>
      <c r="B139" s="4" t="s">
        <f>=HYPERLINK("https://www.leilaoonline.net/lote/detalhe/160503", " MOTOBOMBA - UNIDADE VALE DO ROSÁRIO")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16.250,00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=HYPERLINK("https://www.leilaoonline.net/lote/detalhe/160272", "1285")</f>
      </c>
      <c r="B140" s="4" t="s">
        <f>=HYPERLINK("https://www.leilaoonline.net/lote/detalhe/160272", " COLHEDORA JOHN DEERE 3522, ANO 2014,  FR11002182 - UNIDADE VALE DO ROSÁRIO")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=HYPERLINK("https://www.leilaoonline.net/lote/detalhe/160265", "1312")</f>
      </c>
      <c r="B141" s="4" t="s">
        <f>=HYPERLINK("https://www.leilaoonline.net/lote/detalhe/160265", " TRANSBORDO CIVEMASA, ANO 2010, FR13003070, LOC. MB")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=HYPERLINK("https://www.leilaoonline.net/lote/detalhe/160616", "1312")</f>
      </c>
      <c r="B142" s="4" t="s">
        <f>=HYPERLINK("https://www.leilaoonline.net/lote/detalhe/160616", " TRANSBORDO CIVEMASA TAC ARR 10500KG 24M³ 4700X3550,ANO  2010 FR13003070 - UNIDADE MB")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=HYPERLINK("https://www.leilaoonline.net/lote/detalhe/160235", "1333")</f>
      </c>
      <c r="B143" s="4" t="s">
        <f>=HYPERLINK("https://www.leilaoonline.net/lote/detalhe/160235", " SEMI REBOQUE CANA PICADA MCA RANDON, ANO 1997/1997, BRANCO. - FR14004218, LOC. SANTA ELISA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=HYPERLINK("https://www.leilaoonline.net/lote/detalhe/160234", "1335")</f>
      </c>
      <c r="B144" s="4" t="s">
        <f>=HYPERLINK("https://www.leilaoonline.net/lote/detalhe/160234", "REBOQUE RODOVIARIA SR CN HI, ANO 1995/1995, AZUL - FR14004180 - LOC. SANTA ELISA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=HYPERLINK("https://www.leilaoonline.net/lote/detalhe/160273", "1370")</f>
      </c>
      <c r="B145" s="4" t="s">
        <f>=HYPERLINK("https://www.leilaoonline.net/lote/detalhe/160273", " CAMINHÃO VW 12.140 H C/CAÇAMBA BASCULANTE, ANO 1996/1996, BRANCA ,  FR11001112, LOC. VALE DO ROSÁRIO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22.000,00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=HYPERLINK("https://www.leilaoonline.net/lote/detalhe/160528", "3619")</f>
      </c>
      <c r="B146" s="4" t="s">
        <f>=HYPERLINK("https://www.leilaoonline.net/lote/detalhe/160528", " ÔNIBUS MERCEDES BENZ OG 1315, ANO 1991/1992, BRANCO. - FR. 97493. - LOC. DIAMANTE/SP")</f>
      </c>
      <c r="C146" s="4" t="inlineStr">
        <is>
          <t>Não vendido</t>
        </is>
      </c>
      <c r="D146" s="4" t="inlineStr">
        <is>
          <t>16</t>
        </is>
      </c>
      <c r="E146" s="5" t="inlineStr">
        <is>
          <t>20.000,00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=HYPERLINK("https://www.leilaoonline.net/lote/detalhe/160530", "3622")</f>
      </c>
      <c r="B147" s="4" t="s">
        <f>=HYPERLINK("https://www.leilaoonline.net/lote/detalhe/160530", " Transbordo Santal 12 T, ANO 2007. - FR.101938. - LOC. DIAMANTE/SP")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=HYPERLINK("https://www.leilaoonline.net/lote/detalhe/160529", "3627")</f>
      </c>
      <c r="B148" s="4" t="s">
        <f>=HYPERLINK("https://www.leilaoonline.net/lote/detalhe/160529", " Partes Diversas de Implementos (super cultivador, cultivador, adubadeira...) - S/FR. - LOC. DIAMANTE/SP")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=HYPERLINK("https://www.leilaoonline.net/lote/detalhe/160531", "3638")</f>
      </c>
      <c r="B149" s="4" t="s">
        <f>=HYPERLINK("https://www.leilaoonline.net/lote/detalhe/160531", " Transbordo Santal, ANO 2015. - FR.17301. - LOC. SANTA CANDIDA/SP")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=HYPERLINK("https://www.leilaoonline.net/lote/detalhe/160532", "3644")</f>
      </c>
      <c r="B150" s="4" t="s">
        <f>=HYPERLINK("https://www.leilaoonline.net/lote/detalhe/160532", " Caminhão VW 15.180 EURO3 WORKER, CARROCERIA COMBOIO, ANO 2011/2012, BRANCO. - FR.360445. - LOC. SANTA CANDIDA/SP")</f>
      </c>
      <c r="C150" s="4" t="inlineStr">
        <is>
          <t>Vendido</t>
        </is>
      </c>
      <c r="D150" s="4" t="inlineStr">
        <is>
          <t>115</t>
        </is>
      </c>
      <c r="E150" s="5" t="inlineStr">
        <is>
          <t>162.000,00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=HYPERLINK("https://www.leilaoonline.net/lote/detalhe/160535", "3646")</f>
      </c>
      <c r="B151" s="4" t="s">
        <f>=HYPERLINK("https://www.leilaoonline.net/lote/detalhe/160535", " Transbordo Santal 12 T, ANO 2015. - FR.17318. - LOC. SANTA CANDIDA/SP")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=HYPERLINK("https://www.leilaoonline.net/lote/detalhe/160533", "3647")</f>
      </c>
      <c r="B152" s="4" t="s">
        <f>=HYPERLINK("https://www.leilaoonline.net/lote/detalhe/160533", " Transbordo Santal 12 T, ANO 2015. - FR.17333. - LOC. SANTA CANDIDA/SP")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=HYPERLINK("https://www.leilaoonline.net/lote/detalhe/160534", "3648")</f>
      </c>
      <c r="B153" s="4" t="s">
        <f>=HYPERLINK("https://www.leilaoonline.net/lote/detalhe/160534", " Transbordo Santal 12 T, ANO 2015. - FR.17304. - LOC. SANTA CANDIDA/SP")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=HYPERLINK("https://www.leilaoonline.net/lote/detalhe/160536", "3649")</f>
      </c>
      <c r="B154" s="4" t="s">
        <f>=HYPERLINK("https://www.leilaoonline.net/lote/detalhe/160536", " Transbordo Santal 12 T, ANO 2015. - FR.17344. - LOC. SANTA CANDIDA/SP")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=HYPERLINK("https://www.leilaoonline.net/lote/detalhe/160538", "3655")</f>
      </c>
      <c r="B155" s="4" t="s">
        <f>=HYPERLINK("https://www.leilaoonline.net/lote/detalhe/160538", "Reboque /FNV - FRUEHAUF RPB, ANO 1991/1991, BRANCO;  C/Motor e Carretel. - FR.19800/19986. ( SINISTRADO/RECUPERADO, SEM NUMERAÇÃO DE CHASSI ,REGULARIZAÇÃO PELO COMPRADOR) )  - LOC. PARAÍSO/SP ")</f>
      </c>
      <c r="C155" s="4" t="inlineStr">
        <is>
          <t>Vendido</t>
        </is>
      </c>
      <c r="D155" s="4" t="inlineStr">
        <is>
          <t>20</t>
        </is>
      </c>
      <c r="E155" s="5" t="inlineStr">
        <is>
          <t>29.000,00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=HYPERLINK("https://www.leilaoonline.net/lote/detalhe/160537", "3656")</f>
      </c>
      <c r="B156" s="4" t="s">
        <f>=HYPERLINK("https://www.leilaoonline.net/lote/detalhe/160537", " Reboque Randon RQ CA 8,20 M, ANO 2005/2005. BRANCA - FR.19205. - LOC. PARAÍSO/SP")</f>
      </c>
      <c r="C156" s="4" t="inlineStr">
        <is>
          <t>Vendido</t>
        </is>
      </c>
      <c r="D156" s="4" t="inlineStr">
        <is>
          <t>27</t>
        </is>
      </c>
      <c r="E156" s="5" t="inlineStr">
        <is>
          <t>23.000,00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=HYPERLINK("https://www.leilaoonline.net/lote/detalhe/160539", "3666")</f>
      </c>
      <c r="B157" s="4" t="s">
        <f>=HYPERLINK("https://www.leilaoonline.net/lote/detalhe/160539", " Caminhão VW  7-110S Toco, Baú, ANO 1998/1998, BRANCO. - FR.96314.  VENDA SEM MOTOR , Nº MOTOR FORA DO PADRÃO, CARROCERIA DIVERGENTE (NO DOCUMENTO CONSTA ABERTA), REGULARIZAÇÃO POR CONTA DO COMPRADOR) - LOC. BARRA/SP")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29.000,00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=HYPERLINK("https://www.leilaoonline.net/lote/detalhe/160541", "3674")</f>
      </c>
      <c r="B158" s="4" t="s">
        <f>=HYPERLINK("https://www.leilaoonline.net/lote/detalhe/160541", " 1 Cultivador, 9 Pistões e 2 Tanque Plastico. - FR.74029. - LOC. BARRA/SP")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2.250,00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=HYPERLINK("https://www.leilaoonline.net/lote/detalhe/160551", "4130")</f>
      </c>
      <c r="B159" s="4" t="s">
        <f>=HYPERLINK("https://www.leilaoonline.net/lote/detalhe/160551", " Transbordo Santal 12 T, ANO 2008. - FR.38327. - LOC. PARAÍSO/SP")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=HYPERLINK("https://www.leilaoonline.net/lote/detalhe/160553", "4131")</f>
      </c>
      <c r="B160" s="4" t="s">
        <f>=HYPERLINK("https://www.leilaoonline.net/lote/detalhe/160553", " Transbordo Santal 12 T, ANO 2008. - FR.101955. - LOC. PARAÍSO/SP")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=HYPERLINK("https://www.leilaoonline.net/lote/detalhe/160568", "11378")</f>
      </c>
      <c r="B161" s="4" t="s">
        <f>=HYPERLINK("https://www.leilaoonline.net/lote/detalhe/160568", " TRANSBORDO SANTAL 12 T, ANO 2010, FR1403, LOC. ARARAQUARA")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=HYPERLINK("https://www.leilaoonline.net/lote/detalhe/160559", "11390")</f>
      </c>
      <c r="B162" s="4" t="s">
        <f>=HYPERLINK("https://www.leilaoonline.net/lote/detalhe/160559", " TRANSBORDO SMR 10500 10 T, ANO 2007, FR10112, LOC. ARARAQUARA")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=HYPERLINK("https://www.leilaoonline.net/lote/detalhe/160573", "11395")</f>
      </c>
      <c r="B163" s="4" t="s">
        <f>=HYPERLINK("https://www.leilaoonline.net/lote/detalhe/160573", " TRANSBORDO SMR 10500 10 T, ANO 2008, FR10124, LOC. SERRA")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=HYPERLINK("https://www.leilaoonline.net/lote/detalhe/160607", "11543")</f>
      </c>
      <c r="B164" s="4" t="s">
        <f>=HYPERLINK("https://www.leilaoonline.net/lote/detalhe/160607", "6 CENTRIFUCAS AÇUCAR COMPLETA, 1 MOTOR RESERVA E 2 PAINEIS, S/ FR, LOC. ZANIN")</f>
      </c>
      <c r="C164" s="4" t="inlineStr">
        <is>
          <t>Vendido</t>
        </is>
      </c>
      <c r="D164" s="4" t="inlineStr">
        <is>
          <t>17</t>
        </is>
      </c>
      <c r="E164" s="5" t="inlineStr">
        <is>
          <t>29.000,00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=HYPERLINK("https://www.leilaoonline.net/lote/detalhe/160608", "11548")</f>
      </c>
      <c r="B165" s="4" t="s">
        <f>=HYPERLINK("https://www.leilaoonline.net/lote/detalhe/160608", "REBOQUE 4E RANDONSP RQ CA, ANO 2010/2011, AZUL, FR93655, LOC. ZANIN")</f>
      </c>
      <c r="C165" s="4" t="inlineStr">
        <is>
          <t>Vendido</t>
        </is>
      </c>
      <c r="D165" s="4" t="inlineStr">
        <is>
          <t>18</t>
        </is>
      </c>
      <c r="E165" s="5" t="inlineStr">
        <is>
          <t>42.000,00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=HYPERLINK("https://www.leilaoonline.net/lote/detalhe/161436", "11569")</f>
      </c>
      <c r="B166" s="4" t="s">
        <f>=HYPERLINK("https://www.leilaoonline.net/lote/detalhe/161436", "REBOQUE RANDONSP RQ CA, ANO 2012/2013, CINZA , FR121567, LOC. ZANIN ")</f>
      </c>
      <c r="C166" s="4" t="inlineStr">
        <is>
          <t>Não vendido</t>
        </is>
      </c>
      <c r="D166" s="4" t="inlineStr">
        <is>
          <t>27</t>
        </is>
      </c>
      <c r="E166" s="5" t="inlineStr">
        <is>
          <t>51.000,00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=HYPERLINK("https://www.leilaoonline.net/lote/detalhe/160039", "11573")</f>
      </c>
      <c r="B167" s="4" t="s">
        <f>=HYPERLINK("https://www.leilaoonline.net/lote/detalhe/160039", "ITENS DE INFORMATICA(CPUs, MONITORES, NOTEBOOKs e ACESSPRIOS) LOC. BONFIM ")</f>
      </c>
      <c r="C167" s="4" t="inlineStr">
        <is>
          <t>Vendido</t>
        </is>
      </c>
      <c r="D167" s="4" t="inlineStr">
        <is>
          <t>104</t>
        </is>
      </c>
      <c r="E167" s="5" t="inlineStr">
        <is>
          <t>37.750,00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=HYPERLINK("https://www.leilaoonline.net/lote/detalhe/160049", "11574")</f>
      </c>
      <c r="B168" s="4" t="s">
        <f>=HYPERLINK("https://www.leilaoonline.net/lote/detalhe/160049", " TRATOR M.F. 275, 4X2,  FR49381, ANO 1993, LOC. ZANIN")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33.500,00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=HYPERLINK("https://www.leilaoonline.net/lote/detalhe/160057", "11576")</f>
      </c>
      <c r="B169" s="4" t="s">
        <f>=HYPERLINK("https://www.leilaoonline.net/lote/detalhe/160057", " CAMINHÃO M.BENZ,AXOR, 3344 6X4 , ANO 2013/2013, BRANCA, FR10626, LOC. ZANIN ")</f>
      </c>
      <c r="C169" s="4" t="inlineStr">
        <is>
          <t>Vendido</t>
        </is>
      </c>
      <c r="D169" s="4" t="inlineStr">
        <is>
          <t>34</t>
        </is>
      </c>
      <c r="E169" s="5" t="inlineStr">
        <is>
          <t>120.000,00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=HYPERLINK("https://www.leilaoonline.net/lote/detalhe/160034", "11577")</f>
      </c>
      <c r="B170" s="4" t="s">
        <f>=HYPERLINK("https://www.leilaoonline.net/lote/detalhe/160034", " TRATOR VALTRA, BH210 I 4X4, ANO 2015, FR18057, LOC. ZANIN ")</f>
      </c>
      <c r="C170" s="4" t="inlineStr">
        <is>
          <t>Vendido</t>
        </is>
      </c>
      <c r="D170" s="4" t="inlineStr">
        <is>
          <t>102</t>
        </is>
      </c>
      <c r="E170" s="5" t="inlineStr">
        <is>
          <t>267.000,00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=HYPERLINK("https://www.leilaoonline.net/lote/detalhe/160056", "11578")</f>
      </c>
      <c r="B171" s="4" t="s">
        <f>=HYPERLINK("https://www.leilaoonline.net/lote/detalhe/160056", " TRATOR VALTRA BH 210 I 4X4, ANO 2015, FR31055, LOC. ZANIN  ")</f>
      </c>
      <c r="C171" s="4" t="inlineStr">
        <is>
          <t>Vendido</t>
        </is>
      </c>
      <c r="D171" s="4" t="inlineStr">
        <is>
          <t>125</t>
        </is>
      </c>
      <c r="E171" s="5" t="inlineStr">
        <is>
          <t>195.000,00</t>
        </is>
      </c>
      <c r="F171" s="4" t="inlineStr">
        <is>
          <t>1500.00</t>
        </is>
      </c>
    </row>
    <row collapsed="false" customFormat="false" customHeight="false" hidden="false" ht="12.1" outlineLevel="0" r="172">
      <c r="A172" s="5" t="s">
        <f>=HYPERLINK("https://www.leilaoonline.net/lote/detalhe/160042", "11579")</f>
      </c>
      <c r="B172" s="4" t="s">
        <f>=HYPERLINK("https://www.leilaoonline.net/lote/detalhe/160042", " PLANTADEIRA CANA AUTOMATICA DMB, FR92767, LOC. ZANIN 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11.000,00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=HYPERLINK("https://www.leilaoonline.net/lote/detalhe/160060", "11580")</f>
      </c>
      <c r="B173" s="4" t="s">
        <f>=HYPERLINK("https://www.leilaoonline.net/lote/detalhe/160060", " TRATOR VALTRA BH 180 4X4 , ANO 2013,  FR360742, LOC. ZANIN ")</f>
      </c>
      <c r="C173" s="4" t="inlineStr">
        <is>
          <t>Não vendido</t>
        </is>
      </c>
      <c r="D173" s="4" t="inlineStr">
        <is>
          <t>112</t>
        </is>
      </c>
      <c r="E173" s="5" t="inlineStr">
        <is>
          <t>156.000,00</t>
        </is>
      </c>
      <c r="F173" s="4" t="inlineStr">
        <is>
          <t>1500.00</t>
        </is>
      </c>
    </row>
    <row collapsed="false" customFormat="false" customHeight="false" hidden="false" ht="12.1" outlineLevel="0" r="174">
      <c r="A174" s="5" t="s">
        <f>=HYPERLINK("https://www.leilaoonline.net/lote/detalhe/160069", "11581")</f>
      </c>
      <c r="B174" s="4" t="s">
        <f>=HYPERLINK("https://www.leilaoonline.net/lote/detalhe/160069", "TRATOR PNEUS AGRIC 100CV 4X4 CARREG. ANO 2007, FR360844, LOC. ZANIN ")</f>
      </c>
      <c r="C174" s="4" t="inlineStr">
        <is>
          <t>Não 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1500.00</t>
        </is>
      </c>
    </row>
    <row collapsed="false" customFormat="false" customHeight="false" hidden="false" ht="12.1" outlineLevel="0" r="175">
      <c r="A175" s="5" t="s">
        <f>=HYPERLINK("https://www.leilaoonline.net/lote/detalhe/160064", "11582")</f>
      </c>
      <c r="B175" s="4" t="s">
        <f>=HYPERLINK("https://www.leilaoonline.net/lote/detalhe/160064", " TRATOR M. FERGUSON 283 4X4, ANO 2006,  FR115103, LOC. ZANIN ")</f>
      </c>
      <c r="C175" s="4" t="inlineStr">
        <is>
          <t>Não vendido</t>
        </is>
      </c>
      <c r="D175" s="4" t="inlineStr">
        <is>
          <t>32</t>
        </is>
      </c>
      <c r="E175" s="5" t="inlineStr">
        <is>
          <t>77.000,00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=HYPERLINK("https://www.leilaoonline.net/lote/detalhe/160062", "11583")</f>
      </c>
      <c r="B176" s="4" t="s">
        <f>=HYPERLINK("https://www.leilaoonline.net/lote/detalhe/160062", "PLANT. CANA AUTOMÁTICA  DMB, FR88894, LOC. ZANIN")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=HYPERLINK("https://www.leilaoonline.net/lote/detalhe/160051", "11584")</f>
      </c>
      <c r="B177" s="4" t="s">
        <f>=HYPERLINK("https://www.leilaoonline.net/lote/detalhe/160051", " CAMINHÃO M.BENZ/ AXOR 3344S 6X4, ANO 2014/2014, BRANCO. - FR362066, LOC. ZANIN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=HYPERLINK("https://www.leilaoonline.net/lote/detalhe/160059", "11585")</f>
      </c>
      <c r="B178" s="4" t="s">
        <f>=HYPERLINK("https://www.leilaoonline.net/lote/detalhe/160059", "CARRETA  ABRIGO OPERAD. ECOAGRO,  FR361702, LOC. ZANIN ")</f>
      </c>
      <c r="C178" s="4" t="inlineStr">
        <is>
          <t>Vendido</t>
        </is>
      </c>
      <c r="D178" s="4" t="inlineStr">
        <is>
          <t>14</t>
        </is>
      </c>
      <c r="E178" s="5" t="inlineStr">
        <is>
          <t>11.500,00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=HYPERLINK("https://www.leilaoonline.net/lote/detalhe/160043", "11586")</f>
      </c>
      <c r="B179" s="4" t="s">
        <f>=HYPERLINK("https://www.leilaoonline.net/lote/detalhe/160043", " ONIBUS M.BENZ/OF 1315, ANO 1991/1992, BRANCA, FR119014, LOC. ZANIN ")</f>
      </c>
      <c r="C179" s="4" t="inlineStr">
        <is>
          <t>Vendido</t>
        </is>
      </c>
      <c r="D179" s="4" t="inlineStr">
        <is>
          <t>21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=HYPERLINK("https://www.leilaoonline.net/lote/detalhe/160048", "11587")</f>
      </c>
      <c r="B180" s="4" t="s">
        <f>=HYPERLINK("https://www.leilaoonline.net/lote/detalhe/160048", " ONIBUS M.BENZ/OF 1620, ANO 1994/1994, BRANCA, FR119011, LOC. ZANIN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23.000,00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=HYPERLINK("https://www.leilaoonline.net/lote/detalhe/160061", "11588")</f>
      </c>
      <c r="B181" s="4" t="s">
        <f>=HYPERLINK("https://www.leilaoonline.net/lote/detalhe/160061", " S.REBOQUE/ USICAMP SRCP E2 10000, ANO 2008/2008, AZUL , FR121453, LOC. ZANIN ")</f>
      </c>
      <c r="C181" s="4" t="inlineStr">
        <is>
          <t>Vendido</t>
        </is>
      </c>
      <c r="D181" s="4" t="inlineStr">
        <is>
          <t>3</t>
        </is>
      </c>
      <c r="E181" s="5" t="inlineStr">
        <is>
          <t>27.000,00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=HYPERLINK("https://www.leilaoonline.net/lote/detalhe/160055", "11589")</f>
      </c>
      <c r="B182" s="4" t="s">
        <f>=HYPERLINK("https://www.leilaoonline.net/lote/detalhe/160055", " S.REBOQUE/USICAMP SRCP E2 10000, ANO 2008/2008, AZUL, FR56325, LOC.ZANIN 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=HYPERLINK("https://www.leilaoonline.net/lote/detalhe/160063", "11624")</f>
      </c>
      <c r="B183" s="4" t="s">
        <f>=HYPERLINK("https://www.leilaoonline.net/lote/detalhe/160063", " TRATOR J. DEERE 7500 4X4, ANO 2001, FR115523, LOC. BONFIM")</f>
      </c>
      <c r="C183" s="4" t="inlineStr">
        <is>
          <t>Vendido</t>
        </is>
      </c>
      <c r="D183" s="4" t="inlineStr">
        <is>
          <t>56</t>
        </is>
      </c>
      <c r="E183" s="5" t="inlineStr">
        <is>
          <t>75.000,00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=HYPERLINK("https://www.leilaoonline.net/lote/detalhe/160036", "11625")</f>
      </c>
      <c r="B184" s="4" t="s">
        <f>=HYPERLINK("https://www.leilaoonline.net/lote/detalhe/160036", " TRATOR VALTRA BH145 4X4, ANO 2013, FR126064, LOC. BONFIM ")</f>
      </c>
      <c r="C184" s="4" t="inlineStr">
        <is>
          <t>Vendido</t>
        </is>
      </c>
      <c r="D184" s="4" t="inlineStr">
        <is>
          <t>103</t>
        </is>
      </c>
      <c r="E184" s="5" t="inlineStr">
        <is>
          <t>133.000,00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=HYPERLINK("https://www.leilaoonline.net/lote/detalhe/160037", "11626")</f>
      </c>
      <c r="B185" s="4" t="s">
        <f>=HYPERLINK("https://www.leilaoonline.net/lote/detalhe/160037", " COMPRESSOR ATLAS COPOS XA, FR115094, LOC. BONFIM ")</f>
      </c>
      <c r="C185" s="4" t="inlineStr">
        <is>
          <t>Vendido</t>
        </is>
      </c>
      <c r="D185" s="4" t="inlineStr">
        <is>
          <t>57</t>
        </is>
      </c>
      <c r="E185" s="5" t="inlineStr">
        <is>
          <t>24.500,00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=HYPERLINK("https://www.leilaoonline.net/lote/detalhe/160046", "11627")</f>
      </c>
      <c r="B186" s="4" t="s">
        <f>=HYPERLINK("https://www.leilaoonline.net/lote/detalhe/160046", " CAMINHÃO M.BENZ. AXOR 3344S6, 6X4, ANO 2014/2014, BRANCA, FR119959, LOC. BONFIM 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80.000,00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=HYPERLINK("https://www.leilaoonline.net/lote/detalhe/160040", "11628")</f>
      </c>
      <c r="B187" s="4" t="s">
        <f>=HYPERLINK("https://www.leilaoonline.net/lote/detalhe/160040", " REBOQUE, FR117115/121053, CHASSI CORROÍDO, C/ MOTOR BOMBA E HIDROROLL, LOC. BONFIM ")</f>
      </c>
      <c r="C187" s="4" t="inlineStr">
        <is>
          <t>Não vendido</t>
        </is>
      </c>
      <c r="D187" s="4" t="inlineStr">
        <is>
          <t>6</t>
        </is>
      </c>
      <c r="E187" s="5" t="inlineStr">
        <is>
          <t>20.000,00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=HYPERLINK("https://www.leilaoonline.net/lote/detalhe/160071", "11629")</f>
      </c>
      <c r="B188" s="4" t="s">
        <f>=HYPERLINK("https://www.leilaoonline.net/lote/detalhe/160071", " CAMINHÃO M. BENZ, L2638, ANO 2002/2002, BRANCA, FR120854, LOC. BONFIM 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97.000,00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=HYPERLINK("https://www.leilaoonline.net/lote/detalhe/160038", "11630")</f>
      </c>
      <c r="B189" s="4" t="s">
        <f>=HYPERLINK("https://www.leilaoonline.net/lote/detalhe/160038", " CAMINHÃO SCANIA/T113H, 4X2 360, ANO 1996/1997, BRANCA, FR119878, LOC. BONFIM ")</f>
      </c>
      <c r="C189" s="4" t="inlineStr">
        <is>
          <t>Vendido</t>
        </is>
      </c>
      <c r="D189" s="4" t="inlineStr">
        <is>
          <t>48</t>
        </is>
      </c>
      <c r="E189" s="5" t="inlineStr">
        <is>
          <t>71.000,00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=HYPERLINK("https://www.leilaoonline.net/lote/detalhe/160041", "11631")</f>
      </c>
      <c r="B190" s="4" t="s">
        <f>=HYPERLINK("https://www.leilaoonline.net/lote/detalhe/160041", " CAMINHÃO SCANIA/T112 E 6X4, ANO 1987/1987, BRANCA, FR34078, LOC. BONFIM ")</f>
      </c>
      <c r="C190" s="4" t="inlineStr">
        <is>
          <t>Vendido</t>
        </is>
      </c>
      <c r="D190" s="4" t="inlineStr">
        <is>
          <t>24</t>
        </is>
      </c>
      <c r="E190" s="5" t="inlineStr">
        <is>
          <t>45.000,00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=HYPERLINK("https://www.leilaoonline.net/lote/detalhe/160035", "11632")</f>
      </c>
      <c r="B191" s="4" t="s">
        <f>=HYPERLINK("https://www.leilaoonline.net/lote/detalhe/160035", " CAMINHÃO VW/26.220 EURO 3 WORKER, ANO 2010/2010, BRANCA, CARROCERIA TRANS. FR119914, LOC. BONFIM ")</f>
      </c>
      <c r="C191" s="4" t="inlineStr">
        <is>
          <t>Vendido</t>
        </is>
      </c>
      <c r="D191" s="4" t="inlineStr">
        <is>
          <t>72</t>
        </is>
      </c>
      <c r="E191" s="5" t="inlineStr">
        <is>
          <t>105.000,00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=HYPERLINK("https://www.leilaoonline.net/lote/detalhe/161281", "11999")</f>
      </c>
      <c r="B192" s="4" t="s">
        <f>=HYPERLINK("https://www.leilaoonline.net/lote/detalhe/161281", "LOTE DE PLACAS DE INOX PARA TROCADOR CALOR, ITENS: 270 PLACAS GEA NT350S, E 100 PLACAS ALFA LAVAL M30, LOC. JUNQUEIRA")</f>
      </c>
      <c r="C192" s="4" t="inlineStr">
        <is>
          <t>Não vendido</t>
        </is>
      </c>
      <c r="D192" s="4" t="inlineStr">
        <is>
          <t>32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=HYPERLINK("https://www.leilaoonline.net/lote/detalhe/160276", "12000")</f>
      </c>
      <c r="B193" s="4" t="s">
        <f>=HYPERLINK("https://www.leilaoonline.net/lote/detalhe/160276", " CAMINHÃO VW. 15-190 WORKER, ANO 2014/2014, BRANCA, FR20027, LOC. JUNQUEIRA 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=HYPERLINK("https://www.leilaoonline.net/lote/detalhe/160463", "12001")</f>
      </c>
      <c r="B194" s="4" t="s">
        <f>=HYPERLINK("https://www.leilaoonline.net/lote/detalhe/160463", " CARRETA ABRIGO FAB.PRÓPRIA, ANO 2006, FR92708, LOC. JUNQUEIRA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=HYPERLINK("https://www.leilaoonline.net/lote/detalhe/160464", "12002")</f>
      </c>
      <c r="B195" s="4" t="s">
        <f>=HYPERLINK("https://www.leilaoonline.net/lote/detalhe/160464", " CARRETA ABRIGO FAB.PRÓPRIA, ANO 2008, FR92736, LOC. JUNQUEIRA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=HYPERLINK("https://www.leilaoonline.net/lote/detalhe/160465", "12003")</f>
      </c>
      <c r="B196" s="4" t="s">
        <f>=HYPERLINK("https://www.leilaoonline.net/lote/detalhe/160465", " SULCADOR, ANO 2003, FR92620, LOC. JUNQUEIRA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=HYPERLINK("https://www.leilaoonline.net/lote/detalhe/160268", "12007")</f>
      </c>
      <c r="B197" s="4" t="s">
        <f>=HYPERLINK("https://www.leilaoonline.net/lote/detalhe/160268", " TRANBORDO SMR 10500 10T, ANO 2008, FR10131, LOC. JUNQUEIRA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=HYPERLINK("https://www.leilaoonline.net/lote/detalhe/160266", "12008")</f>
      </c>
      <c r="B198" s="4" t="s">
        <f>=HYPERLINK("https://www.leilaoonline.net/lote/detalhe/160266", " TRANSBORDO SANTAL VT 10T, ANO 2009, FR10148, LOC.  JUNQUEIRA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=HYPERLINK("https://www.leilaoonline.net/lote/detalhe/160505", "12010")</f>
      </c>
      <c r="B199" s="4" t="s">
        <f>=HYPERLINK("https://www.leilaoonline.net/lote/detalhe/160505", " REBOQUE 4E RANDON SP RQ CA 12,5M, ANO 2010/2010, AZUL, FR96769, LOC.JUNQUEIRA 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31.000,00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=HYPERLINK("https://www.leilaoonline.net/lote/detalhe/160504", "12011")</f>
      </c>
      <c r="B200" s="4" t="s">
        <f>=HYPERLINK("https://www.leilaoonline.net/lote/detalhe/160504", " TRANSBORDO ATA 12000 12T, ANO 2012, FR93867, LOC.JUNQUEIRA 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=HYPERLINK("https://www.leilaoonline.net/lote/detalhe/160267", "12012")</f>
      </c>
      <c r="B201" s="4" t="s">
        <f>=HYPERLINK("https://www.leilaoonline.net/lote/detalhe/160267", " TRANSBORDO SMR 10500 10 T, ANO 2008, FR10128,  LOC.JUNQUEIRA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=HYPERLINK("https://www.leilaoonline.net/lote/detalhe/160269", "12013")</f>
      </c>
      <c r="B202" s="4" t="s">
        <f>=HYPERLINK("https://www.leilaoonline.net/lote/detalhe/160269", " TRANSBORDO SMR 10500 10 T, ANO 2008, FR10127,  LOC.JUNQUEIRA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=HYPERLINK("https://www.leilaoonline.net/lote/detalhe/160506", "12015")</f>
      </c>
      <c r="B203" s="4" t="s">
        <f>=HYPERLINK("https://www.leilaoonline.net/lote/detalhe/160506", " S.REBOQUE USICAMP 12,50 M, SRCP E2 10000, ANO 2008/2008,AZUL, FR96275, LOC. JUNQUEIRA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=HYPERLINK("https://www.leilaoonline.net/lote/detalhe/160507", "12016")</f>
      </c>
      <c r="B204" s="4" t="s">
        <f>=HYPERLINK("https://www.leilaoonline.net/lote/detalhe/160507", " S.REBOQUE USICAMP 12,50 M, SRCP E2 10000, ANO 2008/2008, AZUL , FR96284, LOC. JUNQUEIRA")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=HYPERLINK("https://www.leilaoonline.net/lote/detalhe/160556", "12017")</f>
      </c>
      <c r="B205" s="4" t="s">
        <f>=HYPERLINK("https://www.leilaoonline.net/lote/detalhe/160556", " REBOQUE 4E RANDON 12,5M, RQ CA, ANO 2010/2010, AZUL, FR96764, LOC JUNQUEIRA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35.000,00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=HYPERLINK("https://www.leilaoonline.net/lote/detalhe/160509", "12021")</f>
      </c>
      <c r="B206" s="4" t="s">
        <f>=HYPERLINK("https://www.leilaoonline.net/lote/detalhe/160509", " PLANT. CANA ATA PCP 1102, ANO 2012, FR92829, LOC. JUNQUEIRA 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10.500,00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=HYPERLINK("https://www.leilaoonline.net/lote/detalhe/160510", "12022")</f>
      </c>
      <c r="B207" s="4" t="s">
        <f>=HYPERLINK("https://www.leilaoonline.net/lote/detalhe/160510", " CARRETA DE PLANTIO, ANO 2013, FR92853, LOC. JUNQUEIRA 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=HYPERLINK("https://www.leilaoonline.net/lote/detalhe/160508", "12026")</f>
      </c>
      <c r="B208" s="4" t="s">
        <f>=HYPERLINK("https://www.leilaoonline.net/lote/detalhe/160508", " CARRETA TROPICAL 2.200 LTS, ANO 2012, FR92802, LOC. JUNQUEIRA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4.500,00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=HYPERLINK("https://www.leilaoonline.net/lote/detalhe/160177", "12027")</f>
      </c>
      <c r="B209" s="4" t="s">
        <f>=HYPERLINK("https://www.leilaoonline.net/lote/detalhe/160177", "PLANT.CANA AUTOMÁTICA DMB, ANO 2010, FR103902, LOC. JUNQUEIRA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=HYPERLINK("https://www.leilaoonline.net/lote/detalhe/160077", "12028")</f>
      </c>
      <c r="B210" s="4" t="s">
        <f>=HYPERLINK("https://www.leilaoonline.net/lote/detalhe/160077", " CAMINHÃO VW. 24-220, 6X4 BAÚ, ANO 1995/1995, BRANCA, FR11001011, LOC. VALE DO ROSARIO ")</f>
      </c>
      <c r="C210" s="4" t="inlineStr">
        <is>
          <t>Não vendido</t>
        </is>
      </c>
      <c r="D210" s="4" t="inlineStr">
        <is>
          <t>20</t>
        </is>
      </c>
      <c r="E210" s="5" t="inlineStr">
        <is>
          <t>44.000,00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=HYPERLINK("https://www.leilaoonline.net/lote/detalhe/160083", "12029")</f>
      </c>
      <c r="B211" s="4" t="s">
        <f>=HYPERLINK("https://www.leilaoonline.net/lote/detalhe/160083", " VW/SAVEIRO AMBULANCIA1.6, ANO 2004/2004, BRANCA, FR11006002, LOC. VALE DO ROSARIO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8.000,00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=HYPERLINK("https://www.leilaoonline.net/lote/detalhe/160274", "12030")</f>
      </c>
      <c r="B212" s="4" t="s">
        <f>=HYPERLINK("https://www.leilaoonline.net/lote/detalhe/160274", " HIDROROLL HIRRIGABRASIL SEM MOTOR, ANO 1998, FR11003550, LOC. VALE DO ROSÁRIO")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=HYPERLINK("https://www.leilaoonline.net/lote/detalhe/160446", "12037")</f>
      </c>
      <c r="B213" s="4" t="s">
        <f>=HYPERLINK("https://www.leilaoonline.net/lote/detalhe/160446", " TRANS.CIVEMASA TRIDEM 13T, ANO 2008, FR9004006, LOC. VALE DO ROSARIO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=HYPERLINK("https://www.leilaoonline.net/lote/detalhe/160445", "12039")</f>
      </c>
      <c r="B214" s="4" t="s">
        <f>=HYPERLINK("https://www.leilaoonline.net/lote/detalhe/160445", " TRANS.CIVEMASA TRIDEM 13T, ANO 2008, FR5004803, LOC. VALE DO ROSARIO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=HYPERLINK("https://www.leilaoonline.net/lote/detalhe/161430", "12043")</f>
      </c>
      <c r="B215" s="4" t="s">
        <f>=HYPERLINK("https://www.leilaoonline.net/lote/detalhe/161430", " EQUIPAMENTO SERV. DIVERSOS , FR116052, LOC. SANTA ELISA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=HYPERLINK("https://www.leilaoonline.net/lote/detalhe/160525", "12048")</f>
      </c>
      <c r="B216" s="4" t="s">
        <f>=HYPERLINK("https://www.leilaoonline.net/lote/detalhe/160525", " CULTIVADOR C/TANQUE DMB, ANO 2012, FR11003635, LOC. SANTA ELISA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=HYPERLINK("https://www.leilaoonline.net/lote/detalhe/160277", "12050")</f>
      </c>
      <c r="B217" s="4" t="s">
        <f>=HYPERLINK("https://www.leilaoonline.net/lote/detalhe/160277", " 3 CARRETINHAS SERV.GERAIS, ANO 2016, FRS14003623/3633/3627, LOC. SANTA ELISA ")</f>
      </c>
      <c r="C217" s="4" t="inlineStr">
        <is>
          <t>Não vendido</t>
        </is>
      </c>
      <c r="D217" s="4" t="inlineStr">
        <is>
          <t>11</t>
        </is>
      </c>
      <c r="E217" s="5" t="inlineStr">
        <is>
          <t>2.250,00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=HYPERLINK("https://www.leilaoonline.net/lote/detalhe/160511", "12056")</f>
      </c>
      <c r="B218" s="4" t="s">
        <f>=HYPERLINK("https://www.leilaoonline.net/lote/detalhe/160511", " TRANSFORMADOR INCOTRAZA, S/FR, LOC. SANTA ELISA 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4.500,00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=HYPERLINK("https://www.leilaoonline.net/lote/detalhe/160079", "12065")</f>
      </c>
      <c r="B219" s="4" t="s">
        <f>=HYPERLINK("https://www.leilaoonline.net/lote/detalhe/160079", "ESCAVADEIRA KOMATSU PC200 -6B ,ANO 2006, FR14002008 , LOC. SANTA ELISA ")</f>
      </c>
      <c r="C219" s="4" t="inlineStr">
        <is>
          <t>Vendido</t>
        </is>
      </c>
      <c r="D219" s="4" t="inlineStr">
        <is>
          <t>50</t>
        </is>
      </c>
      <c r="E219" s="5" t="inlineStr">
        <is>
          <t>100.000,00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=HYPERLINK("https://www.leilaoonline.net/lote/detalhe/160081", "12066")</f>
      </c>
      <c r="B220" s="4" t="s">
        <f>=HYPERLINK("https://www.leilaoonline.net/lote/detalhe/160081", " RETRO ESCAVADEIRA MAXION 750, ANO 1995/1995, FR14002007, LOC. SANTA ELISA ")</f>
      </c>
      <c r="C220" s="4" t="inlineStr">
        <is>
          <t>Não vendido</t>
        </is>
      </c>
      <c r="D220" s="4" t="inlineStr">
        <is>
          <t>32</t>
        </is>
      </c>
      <c r="E220" s="5" t="inlineStr">
        <is>
          <t>66.000,00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=HYPERLINK("https://www.leilaoonline.net/lote/detalhe/160084", "12067")</f>
      </c>
      <c r="B221" s="4" t="s">
        <f>=HYPERLINK("https://www.leilaoonline.net/lote/detalhe/160084", " EMPILHADEIRA HYSTER N.5, S/F, LOC. SANTA ELISA")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30.000,00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=HYPERLINK("https://www.leilaoonline.net/lote/detalhe/160073", "12068")</f>
      </c>
      <c r="B222" s="4" t="s">
        <f>=HYPERLINK("https://www.leilaoonline.net/lote/detalhe/160073", " GM/S10 2.4 RONTAN AMB, ANO 2001/2001, BRANCA, FR14006002, LOC. SANTA ELISA ")</f>
      </c>
      <c r="C222" s="4" t="inlineStr">
        <is>
          <t>Vendido</t>
        </is>
      </c>
      <c r="D222" s="4" t="inlineStr">
        <is>
          <t>7</t>
        </is>
      </c>
      <c r="E222" s="5" t="inlineStr">
        <is>
          <t>21.000,00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=HYPERLINK("https://www.leilaoonline.net/lote/detalhe/160082", "12069")</f>
      </c>
      <c r="B223" s="4" t="s">
        <f>=HYPERLINK("https://www.leilaoonline.net/lote/detalhe/160082", " CARRINHO PONTE ROLANTE C/ MOTOR , RED0191 , LOC. SANTA ELISA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15.000,00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=HYPERLINK("https://www.leilaoonline.net/lote/detalhe/160070", "12070")</f>
      </c>
      <c r="B224" s="4" t="s">
        <f>=HYPERLINK("https://www.leilaoonline.net/lote/detalhe/160070", " 02 REDUTORES ACIONAMENTO RENK ZANINI,  PC100, 367KW,  S/ FR, LOC. SANTA ELISA ")</f>
      </c>
      <c r="C224" s="4" t="inlineStr">
        <is>
          <t>Não vendido</t>
        </is>
      </c>
      <c r="D224" s="4" t="inlineStr">
        <is>
          <t>68</t>
        </is>
      </c>
      <c r="E224" s="5" t="inlineStr">
        <is>
          <t>73.000,00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=HYPERLINK("https://www.leilaoonline.net/lote/detalhe/160044", "12071")</f>
      </c>
      <c r="B225" s="4" t="s">
        <f>=HYPERLINK("https://www.leilaoonline.net/lote/detalhe/160044", " TRATOR J. DEERE 5605, ANO 2003, FR14002076, LOC.  SANTA ELISA ")</f>
      </c>
      <c r="C225" s="4" t="inlineStr">
        <is>
          <t>Vendido</t>
        </is>
      </c>
      <c r="D225" s="4" t="inlineStr">
        <is>
          <t>33</t>
        </is>
      </c>
      <c r="E225" s="5" t="inlineStr">
        <is>
          <t>57.000,00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=HYPERLINK("https://www.leilaoonline.net/lote/detalhe/160053", "12072")</f>
      </c>
      <c r="B226" s="4" t="s">
        <f>=HYPERLINK("https://www.leilaoonline.net/lote/detalhe/160053", " PLANTADEIRA CANA AUTOMATICA DMB, FR 14003002, LOC. SANTA ELISA 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=HYPERLINK("https://www.leilaoonline.net/lote/detalhe/160068", "12073")</f>
      </c>
      <c r="B227" s="4" t="s">
        <f>=HYPERLINK("https://www.leilaoonline.net/lote/detalhe/160068", " EMPILHADEIRA HYSTER, MOD. 80, ANO 1991, FR14002040, LOC. SANTA ELISA ")</f>
      </c>
      <c r="C227" s="4" t="inlineStr">
        <is>
          <t>Vendido</t>
        </is>
      </c>
      <c r="D227" s="4" t="inlineStr">
        <is>
          <t>57</t>
        </is>
      </c>
      <c r="E227" s="5" t="inlineStr">
        <is>
          <t>48.500,00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=HYPERLINK("https://www.leilaoonline.net/lote/detalhe/160072", "12074")</f>
      </c>
      <c r="B228" s="4" t="s">
        <f>=HYPERLINK("https://www.leilaoonline.net/lote/detalhe/160072", " CARREGADEIRA VALTRA BM 85/4PCR, MOD. 778, ANO 2003/2003, FR14002058, LOC. MB ")</f>
      </c>
      <c r="C228" s="4" t="inlineStr">
        <is>
          <t>Não vendido</t>
        </is>
      </c>
      <c r="D228" s="4" t="inlineStr">
        <is>
          <t>79</t>
        </is>
      </c>
      <c r="E228" s="5" t="inlineStr">
        <is>
          <t>119.500,00</t>
        </is>
      </c>
      <c r="F228" s="4" t="inlineStr">
        <is>
          <t>1500.00</t>
        </is>
      </c>
    </row>
    <row collapsed="false" customFormat="false" customHeight="false" hidden="false" ht="12.1" outlineLevel="0" r="229">
      <c r="A229" s="5" t="s">
        <f>=HYPERLINK("https://www.leilaoonline.net/lote/detalhe/160066", "12075")</f>
      </c>
      <c r="B229" s="4" t="s">
        <f>=HYPERLINK("https://www.leilaoonline.net/lote/detalhe/160066", " CARREGADEIRA VALTRA BM100, MOD. 576, ANO 2006, FR13002016, LOC. MB")</f>
      </c>
      <c r="C229" s="4" t="inlineStr">
        <is>
          <t>Não vendido</t>
        </is>
      </c>
      <c r="D229" s="4" t="inlineStr">
        <is>
          <t>85</t>
        </is>
      </c>
      <c r="E229" s="5" t="inlineStr">
        <is>
          <t>120.000,00</t>
        </is>
      </c>
      <c r="F229" s="4" t="inlineStr">
        <is>
          <t>1500.00</t>
        </is>
      </c>
    </row>
    <row collapsed="false" customFormat="false" customHeight="false" hidden="false" ht="12.1" outlineLevel="0" r="230">
      <c r="A230" s="5" t="s">
        <f>=HYPERLINK("https://www.leilaoonline.net/lote/detalhe/160054", "12076")</f>
      </c>
      <c r="B230" s="4" t="s">
        <f>=HYPERLINK("https://www.leilaoonline.net/lote/detalhe/160054", " CARREGADEIRA MF 290 4X4, MOD. 34, ANO 1996, FR 13002001, LOC. MB ")</f>
      </c>
      <c r="C230" s="4" t="inlineStr">
        <is>
          <t>Vendido</t>
        </is>
      </c>
      <c r="D230" s="4" t="inlineStr">
        <is>
          <t>61</t>
        </is>
      </c>
      <c r="E230" s="5" t="inlineStr">
        <is>
          <t>84.000,00</t>
        </is>
      </c>
      <c r="F230" s="4" t="inlineStr">
        <is>
          <t>1500.00</t>
        </is>
      </c>
    </row>
    <row collapsed="false" customFormat="false" customHeight="false" hidden="false" ht="12.1" outlineLevel="0" r="231">
      <c r="A231" s="5" t="s">
        <f>=HYPERLINK("https://www.leilaoonline.net/lote/detalhe/160074", "12077")</f>
      </c>
      <c r="B231" s="4" t="s">
        <f>=HYPERLINK("https://www.leilaoonline.net/lote/detalhe/160074", " CARREGADEIRA VALTRA BM100, ANO 2006, FR13002046, LOC. MB ")</f>
      </c>
      <c r="C231" s="4" t="inlineStr">
        <is>
          <t>Vendido</t>
        </is>
      </c>
      <c r="D231" s="4" t="inlineStr">
        <is>
          <t>134</t>
        </is>
      </c>
      <c r="E231" s="5" t="inlineStr">
        <is>
          <t>192.500,00</t>
        </is>
      </c>
      <c r="F231" s="4" t="inlineStr">
        <is>
          <t>1500.00</t>
        </is>
      </c>
    </row>
    <row collapsed="false" customFormat="false" customHeight="false" hidden="false" ht="12.1" outlineLevel="0" r="232">
      <c r="A232" s="5" t="s">
        <f>=HYPERLINK("https://www.leilaoonline.net/lote/detalhe/160050", "12078")</f>
      </c>
      <c r="B232" s="4" t="s">
        <f>=HYPERLINK("https://www.leilaoonline.net/lote/detalhe/160050", " CARREGADEIRA  M.F 290 4X4, FR592,  LOC. MB ")</f>
      </c>
      <c r="C232" s="4" t="inlineStr">
        <is>
          <t>Vendido</t>
        </is>
      </c>
      <c r="D232" s="4" t="inlineStr">
        <is>
          <t>58</t>
        </is>
      </c>
      <c r="E232" s="5" t="inlineStr">
        <is>
          <t>72.000,00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=HYPERLINK("https://www.leilaoonline.net/lote/detalhe/160076", "12079")</f>
      </c>
      <c r="B233" s="4" t="s">
        <f>=HYPERLINK("https://www.leilaoonline.net/lote/detalhe/160076", " PLANTADORA CANA AUTOMATICA DMB, ANO 2012, FR5003047, LOC. MB 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=HYPERLINK("https://www.leilaoonline.net/lote/detalhe/160052", "12080")</f>
      </c>
      <c r="B234" s="4" t="s">
        <f>=HYPERLINK("https://www.leilaoonline.net/lote/detalhe/160052", " PLANTADORA CANA AUTOMATICA DMB, ANO 2012, FR9003106, LOC. MB 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40.500,00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=HYPERLINK("https://www.leilaoonline.net/lote/detalhe/160045", "12081")</f>
      </c>
      <c r="B235" s="4" t="s">
        <f>=HYPERLINK("https://www.leilaoonline.net/lote/detalhe/160045", " PLANTADORA CANA AUTOMATICA DMB, ANO 2010,  FR13003120, LOC. MB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=HYPERLINK("https://www.leilaoonline.net/lote/detalhe/160085", "12083")</f>
      </c>
      <c r="B236" s="4" t="s">
        <f>=HYPERLINK("https://www.leilaoonline.net/lote/detalhe/160085", " QUADRICICLO HONDA TRX 420, ANO 2016/2016, FR11006026, LOC. VALEDO ROSARIO ")</f>
      </c>
      <c r="C236" s="4" t="inlineStr">
        <is>
          <t>Vendido</t>
        </is>
      </c>
      <c r="D236" s="4" t="inlineStr">
        <is>
          <t>30</t>
        </is>
      </c>
      <c r="E236" s="5" t="inlineStr">
        <is>
          <t>23.000,00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=HYPERLINK("https://www.leilaoonline.net/lote/detalhe/160047", "12084")</f>
      </c>
      <c r="B237" s="4" t="s">
        <f>=HYPERLINK("https://www.leilaoonline.net/lote/detalhe/160047", " QUADRICICLO POLARIS 570, ANO 2019, FR11006028, LOC. VALE DO ROSARIO ")</f>
      </c>
      <c r="C237" s="4" t="inlineStr">
        <is>
          <t>Vendido</t>
        </is>
      </c>
      <c r="D237" s="4" t="inlineStr">
        <is>
          <t>27</t>
        </is>
      </c>
      <c r="E237" s="5" t="inlineStr">
        <is>
          <t>23.500,00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=HYPERLINK("https://www.leilaoonline.net/lote/detalhe/160086", "12085")</f>
      </c>
      <c r="B238" s="4" t="s">
        <f>=HYPERLINK("https://www.leilaoonline.net/lote/detalhe/160086", " QUADRICICLO POLARIS 570,  ANO 2019, FR11006026, LOC. VALEDO ROSARIO ")</f>
      </c>
      <c r="C238" s="4" t="inlineStr">
        <is>
          <t>Vendido</t>
        </is>
      </c>
      <c r="D238" s="4" t="inlineStr">
        <is>
          <t>27</t>
        </is>
      </c>
      <c r="E238" s="5" t="inlineStr">
        <is>
          <t>23.500,00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=HYPERLINK("https://www.leilaoonline.net/lote/detalhe/160078", "12086")</f>
      </c>
      <c r="B239" s="4" t="s">
        <f>=HYPERLINK("https://www.leilaoonline.net/lote/detalhe/160078", " QUADRICICLO POLARIS 570, ANO 2019, FR11006028, LOC. VALE DO ROSARIO ")</f>
      </c>
      <c r="C239" s="4" t="inlineStr">
        <is>
          <t>Vendido</t>
        </is>
      </c>
      <c r="D239" s="4" t="inlineStr">
        <is>
          <t>29</t>
        </is>
      </c>
      <c r="E239" s="5" t="inlineStr">
        <is>
          <t>25.500,00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=HYPERLINK("https://www.leilaoonline.net/lote/detalhe/160080", "12087")</f>
      </c>
      <c r="B240" s="4" t="s">
        <f>=HYPERLINK("https://www.leilaoonline.net/lote/detalhe/160080", "PRANCHA SR/ RANDON, ANO 1972/1972, AMARELA , FR11004081, LOC. VALE DO ROSARIO ")</f>
      </c>
      <c r="C240" s="4" t="inlineStr">
        <is>
          <t>Vendido</t>
        </is>
      </c>
      <c r="D240" s="4" t="inlineStr">
        <is>
          <t>74</t>
        </is>
      </c>
      <c r="E240" s="5" t="inlineStr">
        <is>
          <t>98.000,00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=HYPERLINK("https://www.leilaoonline.net/lote/detalhe/160065", "12088")</f>
      </c>
      <c r="B241" s="4" t="s">
        <f>=HYPERLINK("https://www.leilaoonline.net/lote/detalhe/160065", " CAMINHÃO VOLVO/NH12420 6X4 T, ANO 2002/2002, BRANCA , FR11001120, LOC. VALE DO ROSARIO ")</f>
      </c>
      <c r="C241" s="4" t="inlineStr">
        <is>
          <t>Vendido</t>
        </is>
      </c>
      <c r="D241" s="4" t="inlineStr">
        <is>
          <t>61</t>
        </is>
      </c>
      <c r="E241" s="5" t="inlineStr">
        <is>
          <t>81.000,00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=HYPERLINK("https://www.leilaoonline.net/lote/detalhe/160058", "12089")</f>
      </c>
      <c r="B242" s="4" t="s">
        <f>=HYPERLINK("https://www.leilaoonline.net/lote/detalhe/160058", " LOTE 21 VALVULAS DE DIVERSOS TAMANHOS, LOC. VALE DO ROSARIO ")</f>
      </c>
      <c r="C242" s="4" t="inlineStr">
        <is>
          <t>Vendido</t>
        </is>
      </c>
      <c r="D242" s="4" t="inlineStr">
        <is>
          <t>26</t>
        </is>
      </c>
      <c r="E242" s="5" t="inlineStr">
        <is>
          <t>18.500,00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=HYPERLINK("https://www.leilaoonline.net/lote/detalhe/160067", "12091")</f>
      </c>
      <c r="B243" s="4" t="s">
        <f>=HYPERLINK("https://www.leilaoonline.net/lote/detalhe/160067", "TRATOR CASE 215, ( QUEIMADO ) S/FR, LOC. VALE DO ROSARIO ")</f>
      </c>
      <c r="C243" s="4" t="inlineStr">
        <is>
          <t>Vendido</t>
        </is>
      </c>
      <c r="D243" s="4" t="inlineStr">
        <is>
          <t>86</t>
        </is>
      </c>
      <c r="E243" s="5" t="inlineStr">
        <is>
          <t>46.500,00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=HYPERLINK("https://www.leilaoonline.net/lote/detalhe/161730", "12116")</f>
      </c>
      <c r="B244" s="4" t="s">
        <f>=HYPERLINK("https://www.leilaoonline.net/lote/detalhe/161730", "LOTE DE SUCATA DE INFORMARTICA , VEJA DESCRITIVO DE ITENS, LEIA ATENTAMENTE AS ESPECIFICAÇÕES, LOC. VALE DO ROSARIO")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6.250,00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=HYPERLINK("https://www.leilaoonline.net/lote/detalhe/161761", "12118")</f>
      </c>
      <c r="B245" s="4" t="s">
        <f>=HYPERLINK("https://www.leilaoonline.net/lote/detalhe/161761", "107 ITENS DE INFORMATICA, SERA VENDIDO COM SUCATA, VEJA DESCRITIVO DE ITENS , LEIA ATENTAMENTE AS ESPECIFICAÇÕES, LOC. MB")</f>
      </c>
      <c r="C245" s="4" t="inlineStr">
        <is>
          <t>Não vendido</t>
        </is>
      </c>
      <c r="D245" s="4" t="inlineStr">
        <is>
          <t>46</t>
        </is>
      </c>
      <c r="E245" s="5" t="inlineStr">
        <is>
          <t>12.250,00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=HYPERLINK("https://www.leilaoonline.net/lote/detalhe/161863", "12119")</f>
      </c>
      <c r="B246" s="4" t="s">
        <f>=HYPERLINK("https://www.leilaoonline.net/lote/detalhe/161863", "S. REBOQUE RANDON SR CA, ANO 2002/2002, VERDE , FRFR10004067 , LOC. JARDEST/SP")</f>
      </c>
      <c r="C246" s="4" t="inlineStr">
        <is>
          <t>Não vendido</t>
        </is>
      </c>
      <c r="D246" s="4" t="inlineStr">
        <is>
          <t>5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=HYPERLINK("https://www.leilaoonline.net/lote/detalhe/161881", "12120")</f>
      </c>
      <c r="B247" s="4" t="s">
        <f>=HYPERLINK("https://www.leilaoonline.net/lote/detalhe/161881", "S.REBOQUE RANDON 12,50 M, SR CA, ANO 2001/2001, VERDE, FR11004213, LOC. JARDEST/SP")</f>
      </c>
      <c r="C247" s="4" t="inlineStr">
        <is>
          <t>Não vendido</t>
        </is>
      </c>
      <c r="D247" s="4" t="inlineStr">
        <is>
          <t>5</t>
        </is>
      </c>
      <c r="E247" s="5" t="inlineStr">
        <is>
          <t>16.000,00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=HYPERLINK("https://www.leilaoonline.net/lote/detalhe/161882", "12121")</f>
      </c>
      <c r="B248" s="4" t="s">
        <f>=HYPERLINK("https://www.leilaoonline.net/lote/detalhe/161882", "S. REBOQUE RANDON SR CA, ANO 2001/2001, VERDE , FR11004194, LOC. JARDEST /SP")</f>
      </c>
      <c r="C248" s="4" t="inlineStr">
        <is>
          <t>Não vendido</t>
        </is>
      </c>
      <c r="D248" s="4" t="inlineStr">
        <is>
          <t>5</t>
        </is>
      </c>
      <c r="E248" s="5" t="inlineStr">
        <is>
          <t>16.000,00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=HYPERLINK("https://www.leilaoonline.net/lote/detalhe/161884", "12122")</f>
      </c>
      <c r="B249" s="4" t="s">
        <f>=HYPERLINK("https://www.leilaoonline.net/lote/detalhe/161884", "S.REBOQUE RANDON, SR CA, ANO 2002/2002, VERDE, FR11004230, LOC. JARDEST/ SP")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=HYPERLINK("https://www.leilaoonline.net/lote/detalhe/161885", "12123")</f>
      </c>
      <c r="B250" s="4" t="s">
        <f>=HYPERLINK("https://www.leilaoonline.net/lote/detalhe/161885", "REBOQUE /TRUCK GALEGO SR, ANO 2004/2004, VERDE, FR11004245, LOC. JARDEST/SP")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12.000,00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=HYPERLINK("https://www.leilaoonline.net/lote/detalhe/160576", "16492")</f>
      </c>
      <c r="B251" s="4" t="s">
        <f>=HYPERLINK("https://www.leilaoonline.net/lote/detalhe/160576", " TRANSBORDO SERMAG 12 T, ANO 2009, FR84972, LOC. GASA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=HYPERLINK("https://www.leilaoonline.net/lote/detalhe/160569", "16500")</f>
      </c>
      <c r="B252" s="4" t="s">
        <f>=HYPERLINK("https://www.leilaoonline.net/lote/detalhe/160569", " TRANSBORDO ATA 12000 12T, ANO 2012, FR123758, LOC. GASA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=HYPERLINK("https://www.leilaoonline.net/lote/detalhe/160566", "16546")</f>
      </c>
      <c r="B253" s="4" t="s">
        <f>=HYPERLINK("https://www.leilaoonline.net/lote/detalhe/160566", " TRANSBORDO ATA 12000 , ANO 2010, FR84780, LOC. UNIVALEM")</f>
      </c>
      <c r="C253" s="4" t="inlineStr">
        <is>
          <t>Vendido</t>
        </is>
      </c>
      <c r="D253" s="4" t="inlineStr">
        <is>
          <t>3</t>
        </is>
      </c>
      <c r="E253" s="5" t="inlineStr">
        <is>
          <t>15.000,00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=HYPERLINK("https://www.leilaoonline.net/lote/detalhe/160565", "16547")</f>
      </c>
      <c r="B254" s="4" t="s">
        <f>=HYPERLINK("https://www.leilaoonline.net/lote/detalhe/160565", " TRANSBORDO ATA 12000 12T, ANO 2012, FR112495, LOC. UNIVALEM ")</f>
      </c>
      <c r="C254" s="4" t="inlineStr">
        <is>
          <t>Vendido</t>
        </is>
      </c>
      <c r="D254" s="4" t="inlineStr">
        <is>
          <t>8</t>
        </is>
      </c>
      <c r="E254" s="5" t="inlineStr">
        <is>
          <t>17.000,00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=HYPERLINK("https://www.leilaoonline.net/lote/detalhe/160571", "16551")</f>
      </c>
      <c r="B255" s="4" t="s">
        <f>=HYPERLINK("https://www.leilaoonline.net/lote/detalhe/160571", " TRANSBORDO SANTAL 12 T, ANO 2014, FR84621,  LOC. UNIVALEM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13.000,00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=HYPERLINK("https://www.leilaoonline.net/lote/detalhe/160564", "16557")</f>
      </c>
      <c r="B256" s="4" t="s">
        <f>=HYPERLINK("https://www.leilaoonline.net/lote/detalhe/160564", " TRANSBORDO ATA 12000 12T, ANO 2012, FR84612, LOC. UNIVALEM 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15.000,00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=HYPERLINK("https://www.leilaoonline.net/lote/detalhe/160572", "16558")</f>
      </c>
      <c r="B257" s="4" t="s">
        <f>=HYPERLINK("https://www.leilaoonline.net/lote/detalhe/160572", " TRANSBORDO SANTAL 12 T, ANO 2014, FR84633, LOC. UNIVALEM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=HYPERLINK("https://www.leilaoonline.net/lote/detalhe/160563", "16572")</f>
      </c>
      <c r="B258" s="4" t="s">
        <f>=HYPERLINK("https://www.leilaoonline.net/lote/detalhe/160563", " TRANSBORDO SANTAL, ANO 2008, FR88774, LOC. BENALCOOL")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=HYPERLINK("https://www.leilaoonline.net/lote/detalhe/160561", "16575")</f>
      </c>
      <c r="B259" s="4" t="s">
        <f>=HYPERLINK("https://www.leilaoonline.net/lote/detalhe/160561", " TRANSBORDO SANTAL, ANO 2014, FR173163, LOC. BENALCOOL")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=HYPERLINK("https://www.leilaoonline.net/lote/detalhe/160562", "16584")</f>
      </c>
      <c r="B260" s="4" t="s">
        <f>=HYPERLINK("https://www.leilaoonline.net/lote/detalhe/160562", " TRANSBORDO , ANO 2014, FR91275, LOC. DESTIVALE")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=HYPERLINK("https://www.leilaoonline.net/lote/detalhe/159902", "16591")</f>
      </c>
      <c r="B261" s="4" t="s">
        <f>=HYPERLINK("https://www.leilaoonline.net/lote/detalhe/159902", " CAMINHÃO M. BENZ/ AXOR 3340K 6X4, CARROCERRIA MUNCK E BAZUCA, ANO 2006/2006, BRANCA, FR173769, LOC. UNIVALEM")</f>
      </c>
      <c r="C261" s="4" t="inlineStr">
        <is>
          <t>Não vendido</t>
        </is>
      </c>
      <c r="D261" s="4" t="inlineStr">
        <is>
          <t>86</t>
        </is>
      </c>
      <c r="E261" s="5" t="inlineStr">
        <is>
          <t>149.000,00</t>
        </is>
      </c>
      <c r="F261" s="4" t="inlineStr">
        <is>
          <t>1500.00</t>
        </is>
      </c>
    </row>
    <row collapsed="false" customFormat="false" customHeight="false" hidden="false" ht="12.1" outlineLevel="0" r="262">
      <c r="A262" s="5" t="s">
        <f>=HYPERLINK("https://www.leilaoonline.net/lote/detalhe/159884", "16592")</f>
      </c>
      <c r="B262" s="4" t="s">
        <f>=HYPERLINK("https://www.leilaoonline.net/lote/detalhe/159884", " TRATOR CASE MAGNUM 235, ANO 2013, FR163503, LOC. UNIVALEM ")</f>
      </c>
      <c r="C262" s="4" t="inlineStr">
        <is>
          <t>Não vendido</t>
        </is>
      </c>
      <c r="D262" s="4" t="inlineStr">
        <is>
          <t>143</t>
        </is>
      </c>
      <c r="E262" s="5" t="inlineStr">
        <is>
          <t>192.000,00</t>
        </is>
      </c>
      <c r="F262" s="4" t="inlineStr">
        <is>
          <t>1500.00</t>
        </is>
      </c>
    </row>
    <row collapsed="false" customFormat="false" customHeight="false" hidden="false" ht="12.1" outlineLevel="0" r="263">
      <c r="A263" s="5" t="s">
        <f>=HYPERLINK("https://www.leilaoonline.net/lote/detalhe/159922", "16593")</f>
      </c>
      <c r="B263" s="4" t="s">
        <f>=HYPERLINK("https://www.leilaoonline.net/lote/detalhe/159922", " TRATOR VALTRA BH210, ANO 2014, FR91392, LOC. UNIVALEM ")</f>
      </c>
      <c r="C263" s="4" t="inlineStr">
        <is>
          <t>Não vendido</t>
        </is>
      </c>
      <c r="D263" s="4" t="inlineStr">
        <is>
          <t>114</t>
        </is>
      </c>
      <c r="E263" s="5" t="inlineStr">
        <is>
          <t>189.000,00</t>
        </is>
      </c>
      <c r="F263" s="4" t="inlineStr">
        <is>
          <t>1500.00</t>
        </is>
      </c>
    </row>
    <row collapsed="false" customFormat="false" customHeight="false" hidden="false" ht="12.1" outlineLevel="0" r="264">
      <c r="A264" s="5" t="s">
        <f>=HYPERLINK("https://www.leilaoonline.net/lote/detalhe/159890", "16594")</f>
      </c>
      <c r="B264" s="4" t="s">
        <f>=HYPERLINK("https://www.leilaoonline.net/lote/detalhe/159890", " COLHEDORA J. DEERE 3522, ANO 2013, FR173411, LOC. UNIVALEM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=HYPERLINK("https://www.leilaoonline.net/lote/detalhe/159885", "16595")</f>
      </c>
      <c r="B265" s="4" t="s">
        <f>=HYPERLINK("https://www.leilaoonline.net/lote/detalhe/159885", " CARRETA SOLLUS, FR173571, LOC. UNIVALEM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=HYPERLINK("https://www.leilaoonline.net/lote/detalhe/159925", "16596")</f>
      </c>
      <c r="B266" s="4" t="s">
        <f>=HYPERLINK("https://www.leilaoonline.net/lote/detalhe/159925", " 02 IMPLEMENTOS HOWARD, CA300, SERIE 46993/47007, LOC. UNIVALEM 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=HYPERLINK("https://www.leilaoonline.net/lote/detalhe/159914", "16597")</f>
      </c>
      <c r="B267" s="4" t="s">
        <f>=HYPERLINK("https://www.leilaoonline.net/lote/detalhe/159914", " CARRETA DE TORTA , FR103637, LOC. UNIVALEM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5.000,00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=HYPERLINK("https://www.leilaoonline.net/lote/detalhe/159883", "16598")</f>
      </c>
      <c r="B268" s="4" t="s">
        <f>=HYPERLINK("https://www.leilaoonline.net/lote/detalhe/159883", " CARRETA SOLLUS, FR103784, LOC. UNIVALEM ")</f>
      </c>
      <c r="C268" s="4" t="inlineStr">
        <is>
          <t>Vendido</t>
        </is>
      </c>
      <c r="D268" s="4" t="inlineStr">
        <is>
          <t>3</t>
        </is>
      </c>
      <c r="E268" s="5" t="inlineStr">
        <is>
          <t>4.000,00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=HYPERLINK("https://www.leilaoonline.net/lote/detalhe/159906", "16599")</f>
      </c>
      <c r="B269" s="4" t="s">
        <f>=HYPERLINK("https://www.leilaoonline.net/lote/detalhe/159906", " TRATOR CASE MAXXUM 180, ANO 2010, FR81582, LOC. UNIVALEM ")</f>
      </c>
      <c r="C269" s="4" t="inlineStr">
        <is>
          <t>Vendido</t>
        </is>
      </c>
      <c r="D269" s="4" t="inlineStr">
        <is>
          <t>41</t>
        </is>
      </c>
      <c r="E269" s="5" t="inlineStr">
        <is>
          <t>72.000,00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=HYPERLINK("https://www.leilaoonline.net/lote/detalhe/159897", "16600")</f>
      </c>
      <c r="B270" s="4" t="s">
        <f>=HYPERLINK("https://www.leilaoonline.net/lote/detalhe/159897", " TRATOR CASE 240, ANO 2010, FR112400/91435, FALTANDO PEÇAS,  LOC. UNIVALEM 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22.000,00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=HYPERLINK("https://www.leilaoonline.net/lote/detalhe/159912", "16601")</f>
      </c>
      <c r="B271" s="4" t="s">
        <f>=HYPERLINK("https://www.leilaoonline.net/lote/detalhe/159912", " REBOQUE SOUFER CA 2E, ANO 2012/2012, CINZA, FR81397, LOC. UNIVALEM 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=HYPERLINK("https://www.leilaoonline.net/lote/detalhe/159905", "16602")</f>
      </c>
      <c r="B272" s="4" t="s">
        <f>=HYPERLINK("https://www.leilaoonline.net/lote/detalhe/159905", " CAMINHÃO VW/31.330 BMB CRC CM, ANO 2012/2012, BRANCA, FR81310, LOC. UNIVALEM ")</f>
      </c>
      <c r="C272" s="4" t="inlineStr">
        <is>
          <t>Vendido</t>
        </is>
      </c>
      <c r="D272" s="4" t="inlineStr">
        <is>
          <t>96</t>
        </is>
      </c>
      <c r="E272" s="5" t="inlineStr">
        <is>
          <t>150.000,00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=HYPERLINK("https://www.leilaoonline.net/lote/detalhe/159915", "16603")</f>
      </c>
      <c r="B273" s="4" t="s">
        <f>=HYPERLINK("https://www.leilaoonline.net/lote/detalhe/159915", " REBOQUE SOUFER CA 2E, ANO 2012/2012, CINZA, FR81393,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11.000,00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=HYPERLINK("https://www.leilaoonline.net/lote/detalhe/159882", "16604")</f>
      </c>
      <c r="B274" s="4" t="s">
        <f>=HYPERLINK("https://www.leilaoonline.net/lote/detalhe/159882", " CAMINHÃO VW.13.180 BAÚ,  ANO 2000/2000, BRANCA, FR173611, LOC. UNIVALEM ")</f>
      </c>
      <c r="C274" s="4" t="inlineStr">
        <is>
          <t>Não vendido</t>
        </is>
      </c>
      <c r="D274" s="4" t="inlineStr">
        <is>
          <t>18</t>
        </is>
      </c>
      <c r="E274" s="5" t="inlineStr">
        <is>
          <t>42.000,00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=HYPERLINK("https://www.leilaoonline.net/lote/detalhe/159911", "16605")</f>
      </c>
      <c r="B275" s="4" t="s">
        <f>=HYPERLINK("https://www.leilaoonline.net/lote/detalhe/159911", " TRATOR VALTRA BH210, ANO 2014, FR91228, LOC. UNIVALEM ")</f>
      </c>
      <c r="C275" s="4" t="inlineStr">
        <is>
          <t>Não vendido</t>
        </is>
      </c>
      <c r="D275" s="4" t="inlineStr">
        <is>
          <t>77</t>
        </is>
      </c>
      <c r="E275" s="5" t="inlineStr">
        <is>
          <t>154.500,00</t>
        </is>
      </c>
      <c r="F275" s="4" t="inlineStr">
        <is>
          <t>1500.00</t>
        </is>
      </c>
    </row>
    <row collapsed="false" customFormat="false" customHeight="false" hidden="false" ht="12.1" outlineLevel="0" r="276">
      <c r="A276" s="5" t="s">
        <f>=HYPERLINK("https://www.leilaoonline.net/lote/detalhe/159919", "16606")</f>
      </c>
      <c r="B276" s="4" t="s">
        <f>=HYPERLINK("https://www.leilaoonline.net/lote/detalhe/159919", " CAMINHAO M.BENZ/AXOR 3340K 6X4,ANO 2006/2006, BRANCO. - FR173771, LOC. UNIVALEM ")</f>
      </c>
      <c r="C276" s="4" t="inlineStr">
        <is>
          <t>Vendido</t>
        </is>
      </c>
      <c r="D276" s="4" t="inlineStr">
        <is>
          <t>92</t>
        </is>
      </c>
      <c r="E276" s="5" t="inlineStr">
        <is>
          <t>124.500,00</t>
        </is>
      </c>
      <c r="F276" s="4" t="inlineStr">
        <is>
          <t>1500.00</t>
        </is>
      </c>
    </row>
    <row collapsed="false" customFormat="false" customHeight="false" hidden="false" ht="12.1" outlineLevel="0" r="277">
      <c r="A277" s="5" t="s">
        <f>=HYPERLINK("https://www.leilaoonline.net/lote/detalhe/159920", "16607")</f>
      </c>
      <c r="B277" s="4" t="s">
        <f>=HYPERLINK("https://www.leilaoonline.net/lote/detalhe/159920", " TRATOR VALTRA, S/FR, LOC. UNIVALEM ")</f>
      </c>
      <c r="C277" s="4" t="inlineStr">
        <is>
          <t>Vendido</t>
        </is>
      </c>
      <c r="D277" s="4" t="inlineStr">
        <is>
          <t>81</t>
        </is>
      </c>
      <c r="E277" s="5" t="inlineStr">
        <is>
          <t>110.000,00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=HYPERLINK("https://www.leilaoonline.net/lote/detalhe/159896", "16608")</f>
      </c>
      <c r="B278" s="4" t="s">
        <f>=HYPERLINK("https://www.leilaoonline.net/lote/detalhe/159896", " TRATOR VALTRA BM 125 I, ANO 2012, FR19833, LOC. UNIVALEM ")</f>
      </c>
      <c r="C278" s="4" t="inlineStr">
        <is>
          <t>Vendido</t>
        </is>
      </c>
      <c r="D278" s="4" t="inlineStr">
        <is>
          <t>88</t>
        </is>
      </c>
      <c r="E278" s="5" t="inlineStr">
        <is>
          <t>142.000,00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=HYPERLINK("https://www.leilaoonline.net/lote/detalhe/159901", "16609")</f>
      </c>
      <c r="B279" s="4" t="s">
        <f>=HYPERLINK("https://www.leilaoonline.net/lote/detalhe/159901", " TRATOR CASE MAGNUM 235, ANO 2013,  FR163502, LOC. UNIVALEM ")</f>
      </c>
      <c r="C279" s="4" t="inlineStr">
        <is>
          <t>Não vendido</t>
        </is>
      </c>
      <c r="D279" s="4" t="inlineStr">
        <is>
          <t>109</t>
        </is>
      </c>
      <c r="E279" s="5" t="inlineStr">
        <is>
          <t>172.500,00</t>
        </is>
      </c>
      <c r="F279" s="4" t="inlineStr">
        <is>
          <t>1500.00</t>
        </is>
      </c>
    </row>
    <row collapsed="false" customFormat="false" customHeight="false" hidden="false" ht="12.1" outlineLevel="0" r="280">
      <c r="A280" s="5" t="s">
        <f>=HYPERLINK("https://www.leilaoonline.net/lote/detalhe/159923", "16610")</f>
      </c>
      <c r="B280" s="4" t="s">
        <f>=HYPERLINK("https://www.leilaoonline.net/lote/detalhe/159923", " CAMINHÃO VW./BMB 31.320 CNC CM, ANO 2011/2012, BRANCA , FR360454, LOC. UNIVALEM ")</f>
      </c>
      <c r="C280" s="4" t="inlineStr">
        <is>
          <t>Vendido</t>
        </is>
      </c>
      <c r="D280" s="4" t="inlineStr">
        <is>
          <t>94</t>
        </is>
      </c>
      <c r="E280" s="5" t="inlineStr">
        <is>
          <t>150.000,00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=HYPERLINK("https://www.leilaoonline.net/lote/detalhe/159888", "16611")</f>
      </c>
      <c r="B281" s="4" t="s">
        <f>=HYPERLINK("https://www.leilaoonline.net/lote/detalhe/159888", " CAMINHÃO VW/15.180 EURO3 WORKER , ANO 2010/2010, BRANCA, FR91240, LOC. UNIVALEM ")</f>
      </c>
      <c r="C281" s="4" t="inlineStr">
        <is>
          <t>Não vendido</t>
        </is>
      </c>
      <c r="D281" s="4" t="inlineStr">
        <is>
          <t>51</t>
        </is>
      </c>
      <c r="E281" s="5" t="inlineStr">
        <is>
          <t>83.000,00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=HYPERLINK("https://www.leilaoonline.net/lote/detalhe/159926", "16612")</f>
      </c>
      <c r="B282" s="4" t="s">
        <f>=HYPERLINK("https://www.leilaoonline.net/lote/detalhe/159926", " CAMINHÃO VW/31.320 CNC, 6X4, ANO 2010/2010, BRANCA, FR81493, LOC. UNIVALEM ")</f>
      </c>
      <c r="C282" s="4" t="inlineStr">
        <is>
          <t>Vendido</t>
        </is>
      </c>
      <c r="D282" s="4" t="inlineStr">
        <is>
          <t>92</t>
        </is>
      </c>
      <c r="E282" s="5" t="inlineStr">
        <is>
          <t>171.500,00</t>
        </is>
      </c>
      <c r="F282" s="4" t="inlineStr">
        <is>
          <t>1500.00</t>
        </is>
      </c>
    </row>
    <row collapsed="false" customFormat="false" customHeight="false" hidden="false" ht="12.1" outlineLevel="0" r="283">
      <c r="A283" s="5" t="s">
        <f>=HYPERLINK("https://www.leilaoonline.net/lote/detalhe/159916", "16613")</f>
      </c>
      <c r="B283" s="4" t="s">
        <f>=HYPERLINK("https://www.leilaoonline.net/lote/detalhe/159916", " CAMINHÃO VW/31.320 CNC 6X4, ANO 2010/2010, BRANCA , FR81496, LOC. UNIVALEM ")</f>
      </c>
      <c r="C283" s="4" t="inlineStr">
        <is>
          <t>Vendido</t>
        </is>
      </c>
      <c r="D283" s="4" t="inlineStr">
        <is>
          <t>96</t>
        </is>
      </c>
      <c r="E283" s="5" t="inlineStr">
        <is>
          <t>155.500,00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=HYPERLINK("https://www.leilaoonline.net/lote/detalhe/159917", "16614")</f>
      </c>
      <c r="B284" s="4" t="s">
        <f>=HYPERLINK("https://www.leilaoonline.net/lote/detalhe/159917", " CAMINHÃO VW/31.320 CNC 6X4, ANO 2010/2010, BRANCA , FR81492, LOC. UNIVALEM ")</f>
      </c>
      <c r="C284" s="4" t="inlineStr">
        <is>
          <t>Vendido</t>
        </is>
      </c>
      <c r="D284" s="4" t="inlineStr">
        <is>
          <t>55</t>
        </is>
      </c>
      <c r="E284" s="5" t="inlineStr">
        <is>
          <t>171.000,00</t>
        </is>
      </c>
      <c r="F284" s="4" t="inlineStr">
        <is>
          <t>1500.00</t>
        </is>
      </c>
    </row>
    <row collapsed="false" customFormat="false" customHeight="false" hidden="false" ht="12.1" outlineLevel="0" r="285">
      <c r="A285" s="5" t="s">
        <f>=HYPERLINK("https://www.leilaoonline.net/lote/detalhe/159924", "16615")</f>
      </c>
      <c r="B285" s="4" t="s">
        <f>=HYPERLINK("https://www.leilaoonline.net/lote/detalhe/159924", " TRATOR VALTRA BT190, S/FR, LOC. UNIVALEM ")</f>
      </c>
      <c r="C285" s="4" t="inlineStr">
        <is>
          <t>Vendido</t>
        </is>
      </c>
      <c r="D285" s="4" t="inlineStr">
        <is>
          <t>73</t>
        </is>
      </c>
      <c r="E285" s="5" t="inlineStr">
        <is>
          <t>120.500,00</t>
        </is>
      </c>
      <c r="F285" s="4" t="inlineStr">
        <is>
          <t>1500.00</t>
        </is>
      </c>
    </row>
    <row collapsed="false" customFormat="false" customHeight="false" hidden="false" ht="12.1" outlineLevel="0" r="286">
      <c r="A286" s="5" t="s">
        <f>=HYPERLINK("https://www.leilaoonline.net/lote/detalhe/159921", "16616")</f>
      </c>
      <c r="B286" s="4" t="s">
        <f>=HYPERLINK("https://www.leilaoonline.net/lote/detalhe/159921", " 02 MOTOBOMBA , FR81820, LOC.UNIVALEM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=HYPERLINK("https://www.leilaoonline.net/lote/detalhe/159891", "16617")</f>
      </c>
      <c r="B287" s="4" t="s">
        <f>=HYPERLINK("https://www.leilaoonline.net/lote/detalhe/159891", " TRATOR VALTRA BT190,ANO 2013,  FR81750, LOC. UNIVALEM ")</f>
      </c>
      <c r="C287" s="4" t="inlineStr">
        <is>
          <t>Vendido</t>
        </is>
      </c>
      <c r="D287" s="4" t="inlineStr">
        <is>
          <t>57</t>
        </is>
      </c>
      <c r="E287" s="5" t="inlineStr">
        <is>
          <t>103.500,00</t>
        </is>
      </c>
      <c r="F287" s="4" t="inlineStr">
        <is>
          <t>1500.00</t>
        </is>
      </c>
    </row>
    <row collapsed="false" customFormat="false" customHeight="false" hidden="false" ht="12.1" outlineLevel="0" r="288">
      <c r="A288" s="5" t="s">
        <f>=HYPERLINK("https://www.leilaoonline.net/lote/detalhe/159895", "16618")</f>
      </c>
      <c r="B288" s="4" t="s">
        <f>=HYPERLINK("https://www.leilaoonline.net/lote/detalhe/159895", " TRATOR, S/FR, LOC. UNIVALEM ")</f>
      </c>
      <c r="C288" s="4" t="inlineStr">
        <is>
          <t>Vendido</t>
        </is>
      </c>
      <c r="D288" s="4" t="inlineStr">
        <is>
          <t>46</t>
        </is>
      </c>
      <c r="E288" s="5" t="inlineStr">
        <is>
          <t>60.000,00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=HYPERLINK("https://www.leilaoonline.net/lote/detalhe/159913", "16619")</f>
      </c>
      <c r="B289" s="4" t="s">
        <f>=HYPERLINK("https://www.leilaoonline.net/lote/detalhe/159913", " 02 HIDROROLL, S/FR, LOC.UNIVALEM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=HYPERLINK("https://www.leilaoonline.net/lote/detalhe/159879", "16620")</f>
      </c>
      <c r="B290" s="4" t="s">
        <f>=HYPERLINK("https://www.leilaoonline.net/lote/detalhe/159879", " CAMINHÃO VW.31.320 CNC 6X4, ANO 2011/2012, BRANCA, FR81303, LOC. DESTIVALE ")</f>
      </c>
      <c r="C290" s="4" t="inlineStr">
        <is>
          <t>Vendido</t>
        </is>
      </c>
      <c r="D290" s="4" t="inlineStr">
        <is>
          <t>37</t>
        </is>
      </c>
      <c r="E290" s="5" t="inlineStr">
        <is>
          <t>172.000,00</t>
        </is>
      </c>
      <c r="F290" s="4" t="inlineStr">
        <is>
          <t>1500.00</t>
        </is>
      </c>
    </row>
    <row collapsed="false" customFormat="false" customHeight="false" hidden="false" ht="12.1" outlineLevel="0" r="291">
      <c r="A291" s="5" t="s">
        <f>=HYPERLINK("https://www.leilaoonline.net/lote/detalhe/159893", "16621")</f>
      </c>
      <c r="B291" s="4" t="s">
        <f>=HYPERLINK("https://www.leilaoonline.net/lote/detalhe/159893", " DOLLY , ( VENDA S/ DOCUMENTO ) FR98019, LOC. DESTIVALE 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13.000,00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=HYPERLINK("https://www.leilaoonline.net/lote/detalhe/160462", "16622")</f>
      </c>
      <c r="B292" s="4" t="s">
        <f>=HYPERLINK("https://www.leilaoonline.net/lote/detalhe/160462", "DOLLY , ( VENDA S/ DOCUMENTO ), FR91925, LOC. DESTIVALE 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10.000,00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=HYPERLINK("https://www.leilaoonline.net/lote/detalhe/159872", "16623")</f>
      </c>
      <c r="B293" s="4" t="s">
        <f>=HYPERLINK("https://www.leilaoonline.net/lote/detalhe/159872", " DOLLY , ( VENDA S/ DOCUMENTO ) FR91922, LOC. DESTIVALE ")</f>
      </c>
      <c r="C293" s="4" t="inlineStr">
        <is>
          <t>Vendido</t>
        </is>
      </c>
      <c r="D293" s="4" t="inlineStr">
        <is>
          <t>8</t>
        </is>
      </c>
      <c r="E293" s="5" t="inlineStr">
        <is>
          <t>11.500,00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=HYPERLINK("https://www.leilaoonline.net/lote/detalhe/159878", "16624")</f>
      </c>
      <c r="B294" s="4" t="s">
        <f>=HYPERLINK("https://www.leilaoonline.net/lote/detalhe/159878", " ROÇADEIRA, FR91767, LOC. DESTIVALE ")</f>
      </c>
      <c r="C294" s="4" t="inlineStr">
        <is>
          <t>Não vendido</t>
        </is>
      </c>
      <c r="D294" s="4" t="inlineStr">
        <is>
          <t>12</t>
        </is>
      </c>
      <c r="E294" s="5" t="inlineStr">
        <is>
          <t>4.250,00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=HYPERLINK("https://www.leilaoonline.net/lote/detalhe/159900", "16625")</f>
      </c>
      <c r="B295" s="4" t="s">
        <f>=HYPERLINK("https://www.leilaoonline.net/lote/detalhe/159900", " CAMINHÃO M.BENZ/AXOR 3344S 6X4, ANO 2014/2014, BRANCO. -  FR10621, LOC. DESTIVALE ")</f>
      </c>
      <c r="C295" s="4" t="inlineStr">
        <is>
          <t>Vendido</t>
        </is>
      </c>
      <c r="D295" s="4" t="inlineStr">
        <is>
          <t>25</t>
        </is>
      </c>
      <c r="E295" s="5" t="inlineStr">
        <is>
          <t>150.000,00</t>
        </is>
      </c>
      <c r="F295" s="4" t="inlineStr">
        <is>
          <t>1500.00</t>
        </is>
      </c>
    </row>
    <row collapsed="false" customFormat="false" customHeight="false" hidden="false" ht="12.1" outlineLevel="0" r="296">
      <c r="A296" s="5" t="s">
        <f>=HYPERLINK("https://www.leilaoonline.net/lote/detalhe/159873", "16626")</f>
      </c>
      <c r="B296" s="4" t="s">
        <f>=HYPERLINK("https://www.leilaoonline.net/lote/detalhe/159873", " TRATOR VALTRA, BH210, ANO 2014,  FR91395, LOC. DESTIVALE ")</f>
      </c>
      <c r="C296" s="4" t="inlineStr">
        <is>
          <t>Vendido</t>
        </is>
      </c>
      <c r="D296" s="4" t="inlineStr">
        <is>
          <t>79</t>
        </is>
      </c>
      <c r="E296" s="5" t="inlineStr">
        <is>
          <t>157.000,00</t>
        </is>
      </c>
      <c r="F296" s="4" t="inlineStr">
        <is>
          <t>1500.00</t>
        </is>
      </c>
    </row>
    <row collapsed="false" customFormat="false" customHeight="false" hidden="false" ht="12.1" outlineLevel="0" r="297">
      <c r="A297" s="5" t="s">
        <f>=HYPERLINK("https://www.leilaoonline.net/lote/detalhe/159877", "16627")</f>
      </c>
      <c r="B297" s="4" t="s">
        <f>=HYPERLINK("https://www.leilaoonline.net/lote/detalhe/159877", " CAMINHÃO VW/15.190 WORKER, ANO 2014/2014, BRANCO. - FR91350, LOC. DESTIVALE ")</f>
      </c>
      <c r="C297" s="4" t="inlineStr">
        <is>
          <t>Vendido</t>
        </is>
      </c>
      <c r="D297" s="4" t="inlineStr">
        <is>
          <t>62</t>
        </is>
      </c>
      <c r="E297" s="5" t="inlineStr">
        <is>
          <t>86.000,00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=HYPERLINK("https://www.leilaoonline.net/lote/detalhe/159899", "16628")</f>
      </c>
      <c r="B298" s="4" t="s">
        <f>=HYPERLINK("https://www.leilaoonline.net/lote/detalhe/159899", " TRATOR VALTRA BH210, ANO 2014,  FR91358, LOC. DESTIVALE ")</f>
      </c>
      <c r="C298" s="4" t="inlineStr">
        <is>
          <t>Vendido</t>
        </is>
      </c>
      <c r="D298" s="4" t="inlineStr">
        <is>
          <t>86</t>
        </is>
      </c>
      <c r="E298" s="5" t="inlineStr">
        <is>
          <t>125.000,00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=HYPERLINK("https://www.leilaoonline.net/lote/detalhe/159903", "16629")</f>
      </c>
      <c r="B299" s="4" t="s">
        <f>=HYPERLINK("https://www.leilaoonline.net/lote/detalhe/159903", " MOTOBOMBA, FR91816, LOC. DESTIVALE 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6.500,00</t>
        </is>
      </c>
      <c r="F299" s="4" t="inlineStr">
        <is>
          <t>500.00</t>
        </is>
      </c>
    </row>
    <row collapsed="false" customFormat="false" customHeight="false" hidden="false" ht="12.1" outlineLevel="0" r="300">
      <c r="A300" s="5" t="s">
        <f>=HYPERLINK("https://www.leilaoonline.net/lote/detalhe/159880", "16630")</f>
      </c>
      <c r="B300" s="4" t="s">
        <f>=HYPERLINK("https://www.leilaoonline.net/lote/detalhe/159880", " TRATOR VALTRA BH210, ANO 2014,  FR91387, LOC. DESTIVALE ")</f>
      </c>
      <c r="C300" s="4" t="inlineStr">
        <is>
          <t>Vendido</t>
        </is>
      </c>
      <c r="D300" s="4" t="inlineStr">
        <is>
          <t>87</t>
        </is>
      </c>
      <c r="E300" s="5" t="inlineStr">
        <is>
          <t>126.000,00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=HYPERLINK("https://www.leilaoonline.net/lote/detalhe/159908", "16631")</f>
      </c>
      <c r="B301" s="4" t="s">
        <f>=HYPERLINK("https://www.leilaoonline.net/lote/detalhe/159908", " COLHEDORA J.DEERE, ANO 2012,  FR81725, LOC. DESTIVALE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=HYPERLINK("https://www.leilaoonline.net/lote/detalhe/159886", "16632")</f>
      </c>
      <c r="B302" s="4" t="s">
        <f>=HYPERLINK("https://www.leilaoonline.net/lote/detalhe/159886", " TRATOR VALTRA BH210, ANO 2014, FR91379, LOC. DESTIVALE ")</f>
      </c>
      <c r="C302" s="4" t="inlineStr">
        <is>
          <t>Vendido</t>
        </is>
      </c>
      <c r="D302" s="4" t="inlineStr">
        <is>
          <t>93</t>
        </is>
      </c>
      <c r="E302" s="5" t="inlineStr">
        <is>
          <t>132.000,00</t>
        </is>
      </c>
      <c r="F302" s="4" t="inlineStr">
        <is>
          <t>1500.00</t>
        </is>
      </c>
    </row>
    <row collapsed="false" customFormat="false" customHeight="false" hidden="false" ht="12.1" outlineLevel="0" r="303">
      <c r="A303" s="5" t="s">
        <f>=HYPERLINK("https://www.leilaoonline.net/lote/detalhe/159889", "16633")</f>
      </c>
      <c r="B303" s="4" t="s">
        <f>=HYPERLINK("https://www.leilaoonline.net/lote/detalhe/159889", " TRATOR VALTRA BH210, ANO 2014, 91226, LOC. DESTIVALE ")</f>
      </c>
      <c r="C303" s="4" t="inlineStr">
        <is>
          <t>Vendido</t>
        </is>
      </c>
      <c r="D303" s="4" t="inlineStr">
        <is>
          <t>74</t>
        </is>
      </c>
      <c r="E303" s="5" t="inlineStr">
        <is>
          <t>119.000,00</t>
        </is>
      </c>
      <c r="F303" s="4" t="inlineStr">
        <is>
          <t>1500.00</t>
        </is>
      </c>
    </row>
    <row collapsed="false" customFormat="false" customHeight="false" hidden="false" ht="12.1" outlineLevel="0" r="304">
      <c r="A304" s="5" t="s">
        <f>=HYPERLINK("https://www.leilaoonline.net/lote/detalhe/159918", "16634")</f>
      </c>
      <c r="B304" s="4" t="s">
        <f>=HYPERLINK("https://www.leilaoonline.net/lote/detalhe/159918", " CAMINHÃO VW.31320 CNC 6X4, ANO 2010/2010, BRANCA, FR91237, LOC. DESTIVALE ")</f>
      </c>
      <c r="C304" s="4" t="inlineStr">
        <is>
          <t>Vendido</t>
        </is>
      </c>
      <c r="D304" s="4" t="inlineStr">
        <is>
          <t>48</t>
        </is>
      </c>
      <c r="E304" s="5" t="inlineStr">
        <is>
          <t>150.000,00</t>
        </is>
      </c>
      <c r="F304" s="4" t="inlineStr">
        <is>
          <t>1500.00</t>
        </is>
      </c>
    </row>
    <row collapsed="false" customFormat="false" customHeight="false" hidden="false" ht="12.1" outlineLevel="0" r="305">
      <c r="A305" s="5" t="s">
        <f>=HYPERLINK("https://www.leilaoonline.net/lote/detalhe/159875", "16635")</f>
      </c>
      <c r="B305" s="4" t="s">
        <f>=HYPERLINK("https://www.leilaoonline.net/lote/detalhe/159875", " CAMINHÃO VW/26.220 EURO3 WORKER, ANO 2011/2012, BRANCA, FR119922/121851, LOC. DESTIVALE")</f>
      </c>
      <c r="C305" s="4" t="inlineStr">
        <is>
          <t>Vendido</t>
        </is>
      </c>
      <c r="D305" s="4" t="inlineStr">
        <is>
          <t>144</t>
        </is>
      </c>
      <c r="E305" s="5" t="inlineStr">
        <is>
          <t>200.000,00</t>
        </is>
      </c>
      <c r="F305" s="4" t="inlineStr">
        <is>
          <t>2000.00</t>
        </is>
      </c>
    </row>
    <row collapsed="false" customFormat="false" customHeight="false" hidden="false" ht="12.1" outlineLevel="0" r="306">
      <c r="A306" s="5" t="s">
        <f>=HYPERLINK("https://www.leilaoonline.net/lote/detalhe/159876", "16636")</f>
      </c>
      <c r="B306" s="4" t="s">
        <f>=HYPERLINK("https://www.leilaoonline.net/lote/detalhe/159876", " REBOQUE FNV- FRUEHAUF RCR, ANO 1992/1992, AZUL, FR91138, LOC. DESTIVALE ")</f>
      </c>
      <c r="C306" s="4" t="inlineStr">
        <is>
          <t>Vendido</t>
        </is>
      </c>
      <c r="D306" s="4" t="inlineStr">
        <is>
          <t>8</t>
        </is>
      </c>
      <c r="E306" s="5" t="inlineStr">
        <is>
          <t>17.000,00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=HYPERLINK("https://www.leilaoonline.net/lote/detalhe/159904", "16637")</f>
      </c>
      <c r="B307" s="4" t="s">
        <f>=HYPERLINK("https://www.leilaoonline.net/lote/detalhe/159904", " GRADE, FR91745, LOC. DESTIVALE ")</f>
      </c>
      <c r="C307" s="4" t="inlineStr">
        <is>
          <t>Vendido</t>
        </is>
      </c>
      <c r="D307" s="4" t="inlineStr">
        <is>
          <t>3</t>
        </is>
      </c>
      <c r="E307" s="5" t="inlineStr">
        <is>
          <t>4.500,00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=HYPERLINK("https://www.leilaoonline.net/lote/detalhe/159892", "16638")</f>
      </c>
      <c r="B308" s="4" t="s">
        <f>=HYPERLINK("https://www.leilaoonline.net/lote/detalhe/159892", " CARRETA TORTA, FR91815, LOC. DESTIVALE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=HYPERLINK("https://www.leilaoonline.net/lote/detalhe/159898", "16639")</f>
      </c>
      <c r="B309" s="4" t="s">
        <f>=HYPERLINK("https://www.leilaoonline.net/lote/detalhe/159898", " CARRETA TRANS. TUBO, FR91808, PATR. 080095, LOC. DESTIVALE 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1.000,00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=HYPERLINK("https://www.leilaoonline.net/lote/detalhe/159907", "16640")</f>
      </c>
      <c r="B310" s="4" t="s">
        <f>=HYPERLINK("https://www.leilaoonline.net/lote/detalhe/159907", " GRADE, FR91755, LOC. DESTIVALE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5.000,00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=HYPERLINK("https://www.leilaoonline.net/lote/detalhe/159887", "16641")</f>
      </c>
      <c r="B311" s="4" t="s">
        <f>=HYPERLINK("https://www.leilaoonline.net/lote/detalhe/159887", " TRATOR VALTRA BH210, ANO 2014,  FR81519, LOC. DESTIVALE ")</f>
      </c>
      <c r="C311" s="4" t="inlineStr">
        <is>
          <t>Vendido</t>
        </is>
      </c>
      <c r="D311" s="4" t="inlineStr">
        <is>
          <t>41</t>
        </is>
      </c>
      <c r="E311" s="5" t="inlineStr">
        <is>
          <t>120.500,00</t>
        </is>
      </c>
      <c r="F311" s="4" t="inlineStr">
        <is>
          <t>1500.00</t>
        </is>
      </c>
    </row>
    <row collapsed="false" customFormat="false" customHeight="false" hidden="false" ht="12.1" outlineLevel="0" r="312">
      <c r="A312" s="5" t="s">
        <f>=HYPERLINK("https://www.leilaoonline.net/lote/detalhe/159894", "16642")</f>
      </c>
      <c r="B312" s="4" t="s">
        <f>=HYPERLINK("https://www.leilaoonline.net/lote/detalhe/159894", " TRATOR M. FURGUNSON 275, ANO 1993,  FR49372, LOC. DESTIVALE")</f>
      </c>
      <c r="C312" s="4" t="inlineStr">
        <is>
          <t>Vendido</t>
        </is>
      </c>
      <c r="D312" s="4" t="inlineStr">
        <is>
          <t>42</t>
        </is>
      </c>
      <c r="E312" s="5" t="inlineStr">
        <is>
          <t>56.000,00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=HYPERLINK("https://www.leilaoonline.net/lote/detalhe/159881", "16643")</f>
      </c>
      <c r="B313" s="4" t="s">
        <f>=HYPERLINK("https://www.leilaoonline.net/lote/detalhe/159881", " TRATOR VALTRA BH210, ANO 2014,  FR91384, LOC. DESTIVALE ")</f>
      </c>
      <c r="C313" s="4" t="inlineStr">
        <is>
          <t>Vendido</t>
        </is>
      </c>
      <c r="D313" s="4" t="inlineStr">
        <is>
          <t>41</t>
        </is>
      </c>
      <c r="E313" s="5" t="inlineStr">
        <is>
          <t>128.000,00</t>
        </is>
      </c>
      <c r="F313" s="4" t="inlineStr">
        <is>
          <t>1500.00</t>
        </is>
      </c>
    </row>
    <row collapsed="false" customFormat="false" customHeight="false" hidden="false" ht="12.1" outlineLevel="0" r="314">
      <c r="A314" s="5" t="s">
        <f>=HYPERLINK("https://www.leilaoonline.net/lote/detalhe/159910", "16644")</f>
      </c>
      <c r="B314" s="4" t="s">
        <f>=HYPERLINK("https://www.leilaoonline.net/lote/detalhe/159910", " TRATOR VALTRA BH210, ANO 2014, FR91382, LOC. DESTIVALE ")</f>
      </c>
      <c r="C314" s="4" t="inlineStr">
        <is>
          <t>Vendido</t>
        </is>
      </c>
      <c r="D314" s="4" t="inlineStr">
        <is>
          <t>71</t>
        </is>
      </c>
      <c r="E314" s="5" t="inlineStr">
        <is>
          <t>113.000,00</t>
        </is>
      </c>
      <c r="F314" s="4" t="inlineStr">
        <is>
          <t>1500.00</t>
        </is>
      </c>
    </row>
    <row collapsed="false" customFormat="false" customHeight="false" hidden="false" ht="12.1" outlineLevel="0" r="315">
      <c r="A315" s="5" t="s">
        <f>=HYPERLINK("https://www.leilaoonline.net/lote/detalhe/159909", "16645")</f>
      </c>
      <c r="B315" s="4" t="s">
        <f>=HYPERLINK("https://www.leilaoonline.net/lote/detalhe/159909", " TRATOR J. DEREE 7225, ANO 2012,  FR23238, LOC. DESTIVALE")</f>
      </c>
      <c r="C315" s="4" t="inlineStr">
        <is>
          <t>Vendido</t>
        </is>
      </c>
      <c r="D315" s="4" t="inlineStr">
        <is>
          <t>87</t>
        </is>
      </c>
      <c r="E315" s="5" t="inlineStr">
        <is>
          <t>125.000,00</t>
        </is>
      </c>
      <c r="F315" s="4" t="inlineStr">
        <is>
          <t>1500.00</t>
        </is>
      </c>
    </row>
    <row collapsed="false" customFormat="false" customHeight="false" hidden="false" ht="12.1" outlineLevel="0" r="316">
      <c r="A316" s="5" t="s">
        <f>=HYPERLINK("https://www.leilaoonline.net/lote/detalhe/160547", "17320")</f>
      </c>
      <c r="B316" s="4" t="s">
        <f>=HYPERLINK("https://www.leilaoonline.net/lote/detalhe/160547", " Venda por KILO Sucata Valvula 10 Ton. Aprox Venda por Kilo. - S/FR. - LOC. IPAUSSU/SP")</f>
      </c>
      <c r="C316" s="4" t="inlineStr">
        <is>
          <t>Vendido</t>
        </is>
      </c>
      <c r="D316" s="4" t="inlineStr">
        <is>
          <t>39</t>
        </is>
      </c>
      <c r="E316" s="5" t="inlineStr">
        <is>
          <t>45.000,00</t>
        </is>
      </c>
      <c r="F316" s="4" t="inlineStr">
        <is>
          <t>0.10</t>
        </is>
      </c>
    </row>
    <row collapsed="false" customFormat="false" customHeight="false" hidden="false" ht="12.1" outlineLevel="0" r="317">
      <c r="A317" s="5" t="s">
        <f>=HYPERLINK("https://www.leilaoonline.net/lote/detalhe/161429", "17322")</f>
      </c>
      <c r="B317" s="4" t="s">
        <f>=HYPERLINK("https://www.leilaoonline.net/lote/detalhe/161429", " 50 Telhas Zinco, 1 Banco cimento, 15 Aprox.  Vasos/Lavatorio/Coluna Sucateado. - S/FR. - LOC. IPAUSSU/SP")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3.750,00</t>
        </is>
      </c>
      <c r="F317" s="4" t="inlineStr">
        <is>
          <t>250.00</t>
        </is>
      </c>
    </row>
    <row collapsed="false" customFormat="false" customHeight="false" hidden="false" ht="12.1" outlineLevel="0" r="318">
      <c r="A318" s="5" t="s">
        <f>=HYPERLINK("https://www.leilaoonline.net/lote/detalhe/160552", "17326")</f>
      </c>
      <c r="B318" s="4" t="s">
        <f>=HYPERLINK("https://www.leilaoonline.net/lote/detalhe/160552", " CAMINHÃO MERCEDES BENZ AXOR 3344S 6x4 CAV. ANO 2012/2012, BRANCO - FR.362096. - LOC. IPAUSSU/SP")</f>
      </c>
      <c r="C318" s="4" t="inlineStr">
        <is>
          <t>Não vendido</t>
        </is>
      </c>
      <c r="D318" s="4" t="inlineStr">
        <is>
          <t>48</t>
        </is>
      </c>
      <c r="E318" s="5" t="inlineStr">
        <is>
          <t>109.000,00</t>
        </is>
      </c>
      <c r="F318" s="4" t="inlineStr">
        <is>
          <t>1500.00</t>
        </is>
      </c>
    </row>
    <row collapsed="false" customFormat="false" customHeight="false" hidden="false" ht="12.1" outlineLevel="0" r="319">
      <c r="A319" s="5" t="s">
        <f>=HYPERLINK("https://www.leilaoonline.net/lote/detalhe/160542", "17336")</f>
      </c>
      <c r="B319" s="4" t="s">
        <f>=HYPERLINK("https://www.leilaoonline.net/lote/detalhe/160542", " Transbordo ATA 12000 12T, ANO 2012. - FR.47071. - LOC. IPAUSSU/SP")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10.000,00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=HYPERLINK("https://www.leilaoonline.net/lote/detalhe/160544", "17337")</f>
      </c>
      <c r="B320" s="4" t="s">
        <f>=HYPERLINK("https://www.leilaoonline.net/lote/detalhe/160544", " Transbordo ATA 12000 12T, ANO 2012. - FR.47064. - LOC. IPAUSSU/SP")</f>
      </c>
      <c r="C320" s="4" t="inlineStr">
        <is>
          <t>Vendido</t>
        </is>
      </c>
      <c r="D320" s="4" t="inlineStr">
        <is>
          <t>8</t>
        </is>
      </c>
      <c r="E320" s="5" t="inlineStr">
        <is>
          <t>17.000,00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=HYPERLINK("https://www.leilaoonline.net/lote/detalhe/160546", "17338")</f>
      </c>
      <c r="B321" s="4" t="s">
        <f>=HYPERLINK("https://www.leilaoonline.net/lote/detalhe/160546", " Transbordo ATA 12T, ANO 2013. - FR.47086. - LOC. IPAUSSU/SP")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=HYPERLINK("https://www.leilaoonline.net/lote/detalhe/160550", "17343")</f>
      </c>
      <c r="B322" s="4" t="s">
        <f>=HYPERLINK("https://www.leilaoonline.net/lote/detalhe/160550", " SEMI - Reboque  Randon SRCA CA 12,50 M, ANO 2012/2012, AZUL. - FR.46921. - LOC. IPAUSSU/SP")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35.000,00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=HYPERLINK("https://www.leilaoonline.net/lote/detalhe/160548", "17344")</f>
      </c>
      <c r="B323" s="4" t="s">
        <f>=HYPERLINK("https://www.leilaoonline.net/lote/detalhe/160548", " SEMI - Reboque  Randon SRCA CA 12,50 M, ANO 2012/2013, CINZA. - FR.70815. - LOC. IPAUSSU/SP")</f>
      </c>
      <c r="C323" s="4" t="inlineStr">
        <is>
          <t>Não vendido</t>
        </is>
      </c>
      <c r="D323" s="4" t="inlineStr">
        <is>
          <t>2</t>
        </is>
      </c>
      <c r="E323" s="5" t="inlineStr">
        <is>
          <t>36.000,00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=HYPERLINK("https://www.leilaoonline.net/lote/detalhe/160554", "17345")</f>
      </c>
      <c r="B324" s="4" t="s">
        <f>=HYPERLINK("https://www.leilaoonline.net/lote/detalhe/160554", " SEMI - Reboque Usicamp SRCP E2 10000, 12,50 M, ANO 2008/2008, AZUL. - FR.46858. - LOC. IPAUSSU/SP")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=HYPERLINK("https://www.leilaoonline.net/lote/detalhe/160545", "17346")</f>
      </c>
      <c r="B325" s="4" t="s">
        <f>=HYPERLINK("https://www.leilaoonline.net/lote/detalhe/160545", " Reboque  Randon RQ CA 12,50 M, ANO 2012/2013, CINZA. - FR.46961. - LOC. IPAUSSU/SP ")</f>
      </c>
      <c r="C325" s="4" t="inlineStr">
        <is>
          <t>Não vendido</t>
        </is>
      </c>
      <c r="D325" s="4" t="inlineStr">
        <is>
          <t>2</t>
        </is>
      </c>
      <c r="E325" s="5" t="inlineStr">
        <is>
          <t>36.000,00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=HYPERLINK("https://www.leilaoonline.net/lote/detalhe/160549", "17347")</f>
      </c>
      <c r="B326" s="4" t="s">
        <f>=HYPERLINK("https://www.leilaoonline.net/lote/detalhe/160549", " Reboque  Randon RQ CA 12,50 M, ANO 2012/2013, CINZA. - FR.70838. OBS. ( (SINISTRO DE MEDIA MONTA)  - LOC. IPAUSSU/SP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35.000,00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=HYPERLINK("https://www.leilaoonline.net/lote/detalhe/160543", "17348")</f>
      </c>
      <c r="B327" s="4" t="s">
        <f>=HYPERLINK("https://www.leilaoonline.net/lote/detalhe/160543", "Reboque  Randon RQ CA 12,50 M, ANO 2010/2010, AZUL. -FR.46870. ( SINISTRO/RECUPERADO)  - LOC. IPAUSSU/SP 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30.000,00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=HYPERLINK("https://www.leilaoonline.net/lote/detalhe/160555", "17350")</f>
      </c>
      <c r="B328" s="4" t="s">
        <f>=HYPERLINK("https://www.leilaoonline.net/lote/detalhe/160555", " Reboque  Randon RQ CA 12,50 M, ANO 2010/2010, AZUL. - FR.46891. ( SINISTRADO/RECUPERADO)  - LOC. IPAUSSU/SP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=HYPERLINK("https://www.leilaoonline.net/lote/detalhe/160627", "17530")</f>
      </c>
      <c r="B329" s="4" t="s">
        <f>=HYPERLINK("https://www.leilaoonline.net/lote/detalhe/160627", "TRATOR DE ESTEIRA CAT D6N, ANO 2011, COM MOTOR TRAVADO/DESMONTADO, LOCALIZADO EM IPAUSSU")</f>
      </c>
      <c r="C329" s="4" t="inlineStr">
        <is>
          <t>Não vendido</t>
        </is>
      </c>
      <c r="D329" s="4" t="inlineStr">
        <is>
          <t>76</t>
        </is>
      </c>
      <c r="E329" s="5" t="inlineStr">
        <is>
          <t>192.000,00</t>
        </is>
      </c>
      <c r="F329" s="4" t="inlineStr">
        <is>
          <t>2000.00</t>
        </is>
      </c>
    </row>
    <row collapsed="false" customFormat="false" customHeight="false" hidden="false" ht="12.1" outlineLevel="0" r="330">
      <c r="A330" s="5" t="s">
        <f>=HYPERLINK("https://www.leilaoonline.net/lote/detalhe/160577", "18112")</f>
      </c>
      <c r="B330" s="4" t="s">
        <f>=HYPERLINK("https://www.leilaoonline.net/lote/detalhe/160577", " REBOQUE SOUFER CA 4E, ANO 2012/2012, CINZA, FR164401, LOC. JATAI ")</f>
      </c>
      <c r="C330" s="4" t="inlineStr">
        <is>
          <t>Não vendido</t>
        </is>
      </c>
      <c r="D330" s="4" t="inlineStr">
        <is>
          <t>1</t>
        </is>
      </c>
      <c r="E330" s="5" t="inlineStr">
        <is>
          <t>20.000,00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=HYPERLINK("https://www.leilaoonline.net/lote/detalhe/160602", "18113")</f>
      </c>
      <c r="B331" s="4" t="s">
        <f>=HYPERLINK("https://www.leilaoonline.net/lote/detalhe/160602", "SUCATA DE RODAS, S/FR, LOC. JATAI ")</f>
      </c>
      <c r="C331" s="4" t="inlineStr">
        <is>
          <t>Vendido</t>
        </is>
      </c>
      <c r="D331" s="4" t="inlineStr">
        <is>
          <t>3</t>
        </is>
      </c>
      <c r="E331" s="5" t="inlineStr">
        <is>
          <t>3.500,00</t>
        </is>
      </c>
      <c r="F331" s="4" t="inlineStr">
        <is>
          <t>250.00</t>
        </is>
      </c>
    </row>
    <row collapsed="false" customFormat="false" customHeight="false" hidden="false" ht="12.1" outlineLevel="0" r="332">
      <c r="A332" s="5" t="s">
        <f>=HYPERLINK("https://www.leilaoonline.net/lote/detalhe/161434", "18122")</f>
      </c>
      <c r="B332" s="4" t="s">
        <f>=HYPERLINK("https://www.leilaoonline.net/lote/detalhe/161434", "CAMINHÃO VW. 26-280 CRM 6X4, ANO 2012/2013, BRANCO. - FR163202, LOC. JATAI")</f>
      </c>
      <c r="C332" s="4" t="inlineStr">
        <is>
          <t>Vendido</t>
        </is>
      </c>
      <c r="D332" s="4" t="inlineStr">
        <is>
          <t>89</t>
        </is>
      </c>
      <c r="E332" s="5" t="inlineStr">
        <is>
          <t>160.500,00</t>
        </is>
      </c>
      <c r="F332" s="4" t="inlineStr">
        <is>
          <t>1500.00</t>
        </is>
      </c>
    </row>
    <row collapsed="false" customFormat="false" customHeight="false" hidden="false" ht="12.1" outlineLevel="0" r="333">
      <c r="A333" s="5" t="s">
        <f>=HYPERLINK("https://www.leilaoonline.net/lote/detalhe/160560", "18125")</f>
      </c>
      <c r="B333" s="4" t="s">
        <f>=HYPERLINK("https://www.leilaoonline.net/lote/detalhe/160560", " REBOQUE SOUFER CA 4E, ANO 2012/2012, CINZA, FR164181, LOC. JATAI 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20.000,00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=HYPERLINK("https://www.leilaoonline.net/lote/detalhe/160575", "18126")</f>
      </c>
      <c r="B334" s="4" t="s">
        <f>=HYPERLINK("https://www.leilaoonline.net/lote/detalhe/160575", " REBOQUE SOUFER CA 4E, ANO 2012/2012, CINZA, FR164431, LOC. JATAI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20.000,00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=HYPERLINK("https://www.leilaoonline.net/lote/detalhe/160574", "18127")</f>
      </c>
      <c r="B335" s="4" t="s">
        <f>=HYPERLINK("https://www.leilaoonline.net/lote/detalhe/160574", " S.REBOQUE RANDON SRCA CA, ANO 2012/2012, AZUL , FR10914,  (VENDA SEM SAPATA HIDRÁULICA),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=HYPERLINK("https://www.leilaoonline.net/lote/detalhe/160578", "18128")</f>
      </c>
      <c r="B336" s="4" t="s">
        <f>=HYPERLINK("https://www.leilaoonline.net/lote/detalhe/160578", " S.REBOQUE RANDON SRCA CA , ANO 2008/2008, AZUL, FR91186,  (VENDA SEM SAPATA HIDRÁULICA),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=HYPERLINK("https://www.leilaoonline.net/lote/detalhe/160579", "18129")</f>
      </c>
      <c r="B337" s="4" t="s">
        <f>=HYPERLINK("https://www.leilaoonline.net/lote/detalhe/160579", " REBOQUE RANDONSP RQ CA, ANO 2013/2014, CINZA, FR121609, LOC. JATAI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35.000,00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=HYPERLINK("https://www.leilaoonline.net/lote/detalhe/160580", "18130")</f>
      </c>
      <c r="B338" s="4" t="s">
        <f>=HYPERLINK("https://www.leilaoonline.net/lote/detalhe/160580", " S.REBOQUE RANDON SRCA CA, ANO 2008/2008, AZUL, FR96237, (VENDA SEM SAPATA HIDRÁULICA)LOC. JATAI 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=HYPERLINK("https://www.leilaoonline.net/lote/detalhe/160581", "18131")</f>
      </c>
      <c r="B339" s="4" t="s">
        <f>=HYPERLINK("https://www.leilaoonline.net/lote/detalhe/160581", " REBOQUE SOUFER CA 4E, ANO 2012/2012, CINZA, FR164403, LOC. JATAI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35.000,00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=HYPERLINK("https://www.leilaoonline.net/lote/detalhe/160582", "18132")</f>
      </c>
      <c r="B340" s="4" t="s">
        <f>=HYPERLINK("https://www.leilaoonline.net/lote/detalhe/160582", " S.REBOQUE RANDONSP SRCA CA, ANO 2011/2011, AZUL, FR164133,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35.000,00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=HYPERLINK("https://www.leilaoonline.net/lote/detalhe/177712", "18150")</f>
      </c>
      <c r="B341" s="4" t="s">
        <f>=HYPERLINK("https://www.leilaoonline.net/lote/detalhe/177712", "DE SUCATA DE TUBOS DE ALUMINIO AMASSADOS, LOCALIZADOS EM JATAI, GOIAS, PESO ESTIMADO 20 TON  ( VENDA POR KILO ) LOC. JATAI /GO")</f>
      </c>
      <c r="C341" s="4" t="inlineStr">
        <is>
          <t>Aguardando</t>
        </is>
      </c>
      <c r="D341" s="4" t="inlineStr">
        <is>
          <t>0</t>
        </is>
      </c>
      <c r="E341" s="5" t="inlineStr">
        <is>
          <t>1,00</t>
        </is>
      </c>
      <c r="F341" s="4" t="inlineStr">
        <is>
          <t>0.10</t>
        </is>
      </c>
    </row>
    <row collapsed="false" customFormat="false" customHeight="false" hidden="false" ht="12.1" outlineLevel="0" r="342">
      <c r="A342" s="5" t="s">
        <f>=HYPERLINK("https://www.leilaoonline.net/lote/detalhe/159782", "20534")</f>
      </c>
      <c r="B342" s="4" t="s">
        <f>=HYPERLINK("https://www.leilaoonline.net/lote/detalhe/159782", " REBOQUE RANDONSP RQ CA, ANO 2012/2012, AZUL, FR36294, LOC. BOM RETIRO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=HYPERLINK("https://www.leilaoonline.net/lote/detalhe/159847", "20581")</f>
      </c>
      <c r="B343" s="4" t="s">
        <f>=HYPERLINK("https://www.leilaoonline.net/lote/detalhe/159847", "ENXADA HOWARD ENGUNERING LIMITED ROTATIVA , ANO 2013, FR57323, LOC. BOM RETIRO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6.000,00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=HYPERLINK("https://www.leilaoonline.net/lote/detalhe/159807", "20616")</f>
      </c>
      <c r="B344" s="4" t="s">
        <f>=HYPERLINK("https://www.leilaoonline.net/lote/detalhe/159807", " REBOQUE ANTONINI, ANO 1991/1991, AZUL, FR56141, (Necessário Remarcação do Chassi) LOC. BOM RETIRO ")</f>
      </c>
      <c r="C344" s="4" t="inlineStr">
        <is>
          <t>Não vendido</t>
        </is>
      </c>
      <c r="D344" s="4" t="inlineStr">
        <is>
          <t>9</t>
        </is>
      </c>
      <c r="E344" s="5" t="inlineStr">
        <is>
          <t>11.500,00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=HYPERLINK("https://www.leilaoonline.net/lote/detalhe/159781", "20622")</f>
      </c>
      <c r="B345" s="4" t="s">
        <f>=HYPERLINK("https://www.leilaoonline.net/lote/detalhe/159781", " CAMINHÃO M.BENZ/L, 1313, ANO 1981/1981, BRANCA , FR58602, LOC. COSTA PINTO ")</f>
      </c>
      <c r="C345" s="4" t="inlineStr">
        <is>
          <t>Não vendido</t>
        </is>
      </c>
      <c r="D345" s="4" t="inlineStr">
        <is>
          <t>48</t>
        </is>
      </c>
      <c r="E345" s="5" t="inlineStr">
        <is>
          <t>66.000,00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=HYPERLINK("https://www.leilaoonline.net/lote/detalhe/159832", "20628")</f>
      </c>
      <c r="B346" s="4" t="s">
        <f>=HYPERLINK("https://www.leilaoonline.net/lote/detalhe/159832", " REBOQUE RANDONSP RQ CA, ANO 2010/2010, FR139928, LOC. BOM RETIRO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30.000,00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=HYPERLINK("https://www.leilaoonline.net/lote/detalhe/159839", "20629")</f>
      </c>
      <c r="B347" s="4" t="s">
        <f>=HYPERLINK("https://www.leilaoonline.net/lote/detalhe/159839", " S. REBOQUE RANDON SRCA CA, ANO 2008/2008, AZUL, FR139667, OBS.(REMARCAÇAO DE CHASSI) LOC. BOM RETIRO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=HYPERLINK("https://www.leilaoonline.net/lote/detalhe/159816", "20646")</f>
      </c>
      <c r="B348" s="4" t="s">
        <f>=HYPERLINK("https://www.leilaoonline.net/lote/detalhe/159816", " CARRETA TRANSPORTADORA TUBOS, FR67143, LOC. BOM RETIRO ")</f>
      </c>
      <c r="C348" s="4" t="inlineStr">
        <is>
          <t>Vendido</t>
        </is>
      </c>
      <c r="D348" s="4" t="inlineStr">
        <is>
          <t>21</t>
        </is>
      </c>
      <c r="E348" s="5" t="inlineStr">
        <is>
          <t>4.500,00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=HYPERLINK("https://www.leilaoonline.net/lote/detalhe/159793", "20647")</f>
      </c>
      <c r="B349" s="4" t="s">
        <f>=HYPERLINK("https://www.leilaoonline.net/lote/detalhe/159793", "TRITURADOR CANA TRC VICON, FR25280, LOC. BOM RETIRO")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3.000,00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=HYPERLINK("https://www.leilaoonline.net/lote/detalhe/159856", "20648")</f>
      </c>
      <c r="B350" s="4" t="s">
        <f>=HYPERLINK("https://www.leilaoonline.net/lote/detalhe/159856", " CARRETA TRANSPORTADORA TUBOS, FR67141, LOC. BOM RETIRO ")</f>
      </c>
      <c r="C350" s="4" t="inlineStr">
        <is>
          <t>Não vendido</t>
        </is>
      </c>
      <c r="D350" s="4" t="inlineStr">
        <is>
          <t>16</t>
        </is>
      </c>
      <c r="E350" s="5" t="inlineStr">
        <is>
          <t>3.250,00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=HYPERLINK("https://www.leilaoonline.net/lote/detalhe/159799", "20649")</f>
      </c>
      <c r="B351" s="4" t="s">
        <f>=HYPERLINK("https://www.leilaoonline.net/lote/detalhe/159799", " CARRETA TRANSPORTADORA TUBOS RAESA, FR139957, LOC. BOM RETIRO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2.200,00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=HYPERLINK("https://www.leilaoonline.net/lote/detalhe/159826", "20654")</f>
      </c>
      <c r="B352" s="4" t="s">
        <f>=HYPERLINK("https://www.leilaoonline.net/lote/detalhe/159826", " CAMINHÃO M.BENZ/AXOR 3344S 6X4, ANO 2014/2014, BRANCA, FR10634, LOC. BOM RETIRO ")</f>
      </c>
      <c r="C352" s="4" t="inlineStr">
        <is>
          <t>Não vendido</t>
        </is>
      </c>
      <c r="D352" s="4" t="inlineStr">
        <is>
          <t>64</t>
        </is>
      </c>
      <c r="E352" s="5" t="inlineStr">
        <is>
          <t>154.000,00</t>
        </is>
      </c>
      <c r="F352" s="4" t="inlineStr">
        <is>
          <t>1500.00</t>
        </is>
      </c>
    </row>
    <row collapsed="false" customFormat="false" customHeight="false" hidden="false" ht="12.1" outlineLevel="0" r="353">
      <c r="A353" s="5" t="s">
        <f>=HYPERLINK("https://www.leilaoonline.net/lote/detalhe/159850", "20655")</f>
      </c>
      <c r="B353" s="4" t="s">
        <f>=HYPERLINK("https://www.leilaoonline.net/lote/detalhe/159850", " CAMINHÃO M.BENZ/ AXOR 3344S 6X4, ANO 2014/2014, BRANCA, FR362087, LOC. BOM RETIRO ")</f>
      </c>
      <c r="C353" s="4" t="inlineStr">
        <is>
          <t>Não vendido</t>
        </is>
      </c>
      <c r="D353" s="4" t="inlineStr">
        <is>
          <t>56</t>
        </is>
      </c>
      <c r="E353" s="5" t="inlineStr">
        <is>
          <t>139.000,00</t>
        </is>
      </c>
      <c r="F353" s="4" t="inlineStr">
        <is>
          <t>1500.00</t>
        </is>
      </c>
    </row>
    <row collapsed="false" customFormat="false" customHeight="false" hidden="false" ht="12.1" outlineLevel="0" r="354">
      <c r="A354" s="5" t="s">
        <f>=HYPERLINK("https://www.leilaoonline.net/lote/detalhe/159833", "20656")</f>
      </c>
      <c r="B354" s="4" t="s">
        <f>=HYPERLINK("https://www.leilaoonline.net/lote/detalhe/159833", " CAMINHÃO M.BENZ/ AXOR 3344S 6X4, ANO 2014/2014, BRANCA, FR362095, LOC. BOM RETIRO ")</f>
      </c>
      <c r="C354" s="4" t="inlineStr">
        <is>
          <t>Não vendido</t>
        </is>
      </c>
      <c r="D354" s="4" t="inlineStr">
        <is>
          <t>64</t>
        </is>
      </c>
      <c r="E354" s="5" t="inlineStr">
        <is>
          <t>151.000,00</t>
        </is>
      </c>
      <c r="F354" s="4" t="inlineStr">
        <is>
          <t>1500.00</t>
        </is>
      </c>
    </row>
    <row collapsed="false" customFormat="false" customHeight="false" hidden="false" ht="12.1" outlineLevel="0" r="355">
      <c r="A355" s="5" t="s">
        <f>=HYPERLINK("https://www.leilaoonline.net/lote/detalhe/160570", "20659")</f>
      </c>
      <c r="B355" s="4" t="s">
        <f>=HYPERLINK("https://www.leilaoonline.net/lote/detalhe/160570", " REBOQUE RANDON 4E 12,5M TOMBO DIREITO, 2010/2011, FR36271, LOC. BOM RETIRO")</f>
      </c>
      <c r="C355" s="4" t="inlineStr">
        <is>
          <t>Não vendido</t>
        </is>
      </c>
      <c r="D355" s="4" t="inlineStr">
        <is>
          <t>1</t>
        </is>
      </c>
      <c r="E355" s="5" t="inlineStr">
        <is>
          <t>35.000,00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=HYPERLINK("https://www.leilaoonline.net/lote/detalhe/159862", "20660")</f>
      </c>
      <c r="B356" s="4" t="s">
        <f>=HYPERLINK("https://www.leilaoonline.net/lote/detalhe/159862", " CARRETA DISTRIBUIDORA DE TORTA SPANDER, ANO 2011,   FR139939, LOC. BOM RETIRO ")</f>
      </c>
      <c r="C356" s="4" t="inlineStr">
        <is>
          <t>Não vendido</t>
        </is>
      </c>
      <c r="D356" s="4" t="inlineStr">
        <is>
          <t>3</t>
        </is>
      </c>
      <c r="E356" s="5" t="inlineStr">
        <is>
          <t>3.500,00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=HYPERLINK("https://www.leilaoonline.net/lote/detalhe/160932", "20662")</f>
      </c>
      <c r="B357" s="4" t="s">
        <f>=HYPERLINK("https://www.leilaoonline.net/lote/detalhe/160932", "GUINCHO ELETRICO COM MOTOR, FR60543 - 60542, LOC. SANTA HELENA ")</f>
      </c>
      <c r="C357" s="4" t="inlineStr">
        <is>
          <t>Não vendido</t>
        </is>
      </c>
      <c r="D357" s="4" t="inlineStr">
        <is>
          <t>10</t>
        </is>
      </c>
      <c r="E357" s="5" t="inlineStr">
        <is>
          <t>3.750,00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=HYPERLINK("https://www.leilaoonline.net/lote/detalhe/161435", "20666")</f>
      </c>
      <c r="B358" s="4" t="s">
        <f>=HYPERLINK("https://www.leilaoonline.net/lote/detalhe/161435", "PA-CARREGADORA VOLVO L90D – ANO 2001 - FR139538, LOC. COSTA PINTO ")</f>
      </c>
      <c r="C358" s="4" t="inlineStr">
        <is>
          <t>Vendido</t>
        </is>
      </c>
      <c r="D358" s="4" t="inlineStr">
        <is>
          <t>10</t>
        </is>
      </c>
      <c r="E358" s="5" t="inlineStr">
        <is>
          <t>55.000,00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=HYPERLINK("https://www.leilaoonline.net/lote/detalhe/160930", "20666.10")</f>
      </c>
      <c r="B359" s="4" t="s">
        <f>=HYPERLINK("https://www.leilaoonline.net/lote/detalhe/160930", "GUINCHO ELÉTRICO CABO AÇO, SF./, LOC. SANTA HELENA ")</f>
      </c>
      <c r="C359" s="4" t="inlineStr">
        <is>
          <t>Não vendido</t>
        </is>
      </c>
      <c r="D359" s="4" t="inlineStr">
        <is>
          <t>4</t>
        </is>
      </c>
      <c r="E359" s="5" t="inlineStr">
        <is>
          <t>2.250,00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=HYPERLINK("https://www.leilaoonline.net/lote/detalhe/160934", "20667")</f>
      </c>
      <c r="B360" s="4" t="s">
        <f>=HYPERLINK("https://www.leilaoonline.net/lote/detalhe/160934", "LOTE DE MOBILIARIO E SUCATA ELETRICA- APROXIMADAMENTE- 10 ARMARIOS DE ACO - 30 SUCATA DE CADEIRAS DIVERSAS I MESA PIMBOLIM E 2 MESAS DE DAMAS E CARTAS - 2 IBCS SUCATA ELETRICA E ELETRONICA , S/ FR., LOC. SANTA HELENA 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=HYPERLINK("https://www.leilaoonline.net/lote/detalhe/160933", "20668")</f>
      </c>
      <c r="B361" s="4" t="s">
        <f>=HYPERLINK("https://www.leilaoonline.net/lote/detalhe/160933", "TANQUE DESCARTE OLEO 4000LTS, S/ FR, LOC. SANTA HELENA 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3.000,00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=HYPERLINK("https://www.leilaoonline.net/lote/detalhe/160935", "20669")</f>
      </c>
      <c r="B362" s="4" t="s">
        <f>=HYPERLINK("https://www.leilaoonline.net/lote/detalhe/160935", "LOTE DE MOTORES APROXIMADAMENTE 20 MOTORES DIVERSOS TAMANHOS E POTENCIAS, S/ FR, LOC. SANTA HELENA ")</f>
      </c>
      <c r="C362" s="4" t="inlineStr">
        <is>
          <t>Não vendido</t>
        </is>
      </c>
      <c r="D362" s="4" t="inlineStr">
        <is>
          <t>11</t>
        </is>
      </c>
      <c r="E362" s="5" t="inlineStr">
        <is>
          <t>7.500,00</t>
        </is>
      </c>
      <c r="F362" s="4" t="inlineStr">
        <is>
          <t>500.00</t>
        </is>
      </c>
    </row>
    <row collapsed="false" customFormat="false" customHeight="false" hidden="false" ht="12.1" outlineLevel="0" r="363">
      <c r="A363" s="5" t="s">
        <f>=HYPERLINK("https://www.leilaoonline.net/lote/detalhe/160929", "20670")</f>
      </c>
      <c r="B363" s="4" t="s">
        <f>=HYPERLINK("https://www.leilaoonline.net/lote/detalhe/160929", " LOTE 15 BOMBAS DIVERSOS MODELOS E TAMANHOS- 1 VALVULA E 1 TALHA ELETRICA, 208771-69612-60272-215622-68779, SF./ LOC. SANTA HELENA ")</f>
      </c>
      <c r="C363" s="4" t="inlineStr">
        <is>
          <t>Vendido</t>
        </is>
      </c>
      <c r="D363" s="4" t="inlineStr">
        <is>
          <t>12</t>
        </is>
      </c>
      <c r="E363" s="5" t="inlineStr">
        <is>
          <t>12.000,00</t>
        </is>
      </c>
      <c r="F363" s="4" t="inlineStr">
        <is>
          <t>500.00</t>
        </is>
      </c>
    </row>
    <row collapsed="false" customFormat="false" customHeight="false" hidden="false" ht="12.1" outlineLevel="0" r="364">
      <c r="A364" s="5" t="s">
        <f>=HYPERLINK("https://www.leilaoonline.net/lote/detalhe/160931", "20672")</f>
      </c>
      <c r="B364" s="4" t="s">
        <f>=HYPERLINK("https://www.leilaoonline.net/lote/detalhe/160931", "LOTE 9 IMPRESSORA TERMICA INTERMEC PB31, PLAQ. 141508-141523-141751-141762-141528-141760-141793-141721-141799, LOC. COSTA PINTO 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=HYPERLINK("https://www.leilaoonline.net/lote/detalhe/160567", "20682")</f>
      </c>
      <c r="B365" s="4" t="s">
        <f>=HYPERLINK("https://www.leilaoonline.net/lote/detalhe/160567", " SEMI-REBOQUE RANDON 12,50M CANA INTEIRA TOMBO DIREITO, ANO 2008/2008, AZUL. -  LOC. LOC. BOM RETIRO")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=HYPERLINK("https://www.leilaoonline.net/lote/detalhe/159851", "20685")</f>
      </c>
      <c r="B366" s="4" t="s">
        <f>=HYPERLINK("https://www.leilaoonline.net/lote/detalhe/159851", " S. REBOQUE RANDON SRCA CA, ANO 2008/2008, AZUL , FR66183, LOC. BOM RETIRO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30.000,00</t>
        </is>
      </c>
      <c r="F366" s="4" t="inlineStr">
        <is>
          <t>1000.00</t>
        </is>
      </c>
    </row>
    <row collapsed="false" customFormat="false" customHeight="false" hidden="false" ht="12.1" outlineLevel="0" r="367">
      <c r="A367" s="5" t="s">
        <f>=HYPERLINK("https://www.leilaoonline.net/lote/detalhe/160603", "20691")</f>
      </c>
      <c r="B367" s="4" t="s">
        <f>=HYPERLINK("https://www.leilaoonline.net/lote/detalhe/160603", " TANQUE DE METAL , SF./ LOC. LEME / SP ")</f>
      </c>
      <c r="C367" s="4" t="inlineStr">
        <is>
          <t>Não vendido</t>
        </is>
      </c>
      <c r="D367" s="4" t="inlineStr">
        <is>
          <t>8</t>
        </is>
      </c>
      <c r="E367" s="5" t="inlineStr">
        <is>
          <t>7.500,00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=HYPERLINK("https://www.leilaoonline.net/lote/detalhe/159863", "20694")</f>
      </c>
      <c r="B368" s="4" t="s">
        <f>=HYPERLINK("https://www.leilaoonline.net/lote/detalhe/159863", " REBOQUE RANDONSP RQ CA, ANO 2010/2011, AZUL , FR66183, ( FALT. EIXOS E MOLAS ) , LOC. BOM RETIRO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35.000,00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=HYPERLINK("https://www.leilaoonline.net/lote/detalhe/160557", "20700")</f>
      </c>
      <c r="B369" s="4" t="s">
        <f>=HYPERLINK("https://www.leilaoonline.net/lote/detalhe/160557", "CAMINHAO VW. 26-220 6X4 COM TANQUE, ANO 2010/2010, BRANCO. - (FR26028/ FR22125)   LOC. BOM RETIRO ")</f>
      </c>
      <c r="C369" s="4" t="inlineStr">
        <is>
          <t>Vendido</t>
        </is>
      </c>
      <c r="D369" s="4" t="inlineStr">
        <is>
          <t>98</t>
        </is>
      </c>
      <c r="E369" s="5" t="inlineStr">
        <is>
          <t>147.000,00</t>
        </is>
      </c>
      <c r="F369" s="4" t="inlineStr">
        <is>
          <t>1500.00</t>
        </is>
      </c>
    </row>
    <row collapsed="false" customFormat="false" customHeight="false" hidden="false" ht="12.1" outlineLevel="0" r="370">
      <c r="A370" s="5" t="s">
        <f>=HYPERLINK("https://www.leilaoonline.net/lote/detalhe/161431", "20706")</f>
      </c>
      <c r="B370" s="4" t="s">
        <f>=HYPERLINK("https://www.leilaoonline.net/lote/detalhe/161431", " BOMBA CENTRIFUGA MCA IMBIL MOD ISM.G 100X35 ANO 2011 80M3/H - BOMBA NR 01 CIRCULACAO NPK, PLAQ. 40077-0, MEL_WEG_30CV_180M_1765RPM ANO 2005,   LOC. LEME ")</f>
      </c>
      <c r="C370" s="4" t="inlineStr">
        <is>
          <t>Vendido</t>
        </is>
      </c>
      <c r="D370" s="4" t="inlineStr">
        <is>
          <t>16</t>
        </is>
      </c>
      <c r="E370" s="5" t="inlineStr">
        <is>
          <t>8.750,00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=HYPERLINK("https://www.leilaoonline.net/lote/detalhe/160667", "20999")</f>
      </c>
      <c r="B371" s="4" t="s">
        <f>=HYPERLINK("https://www.leilaoonline.net/lote/detalhe/160667", "LOTE CONTENDO 109 ENGATES RAPIDO DE CARRETA - TECNORTE, LOCALIZAÇÃO BARRA")</f>
      </c>
      <c r="C371" s="4" t="inlineStr">
        <is>
          <t>Não vendido</t>
        </is>
      </c>
      <c r="D371" s="4" t="inlineStr">
        <is>
          <t>1</t>
        </is>
      </c>
      <c r="E371" s="5" t="inlineStr">
        <is>
          <t>1.500,00</t>
        </is>
      </c>
      <c r="F371" s="4" t="inlineStr">
        <is>
          <t>250.00</t>
        </is>
      </c>
    </row>
    <row collapsed="false" customFormat="false" customHeight="false" hidden="false" ht="12.1" outlineLevel="0" r="372">
      <c r="A372" s="5" t="s">
        <f>=HYPERLINK("https://www.leilaoonline.net/lote/detalhe/161528", "25100")</f>
      </c>
      <c r="B372" s="4" t="s">
        <f>=HYPERLINK("https://www.leilaoonline.net/lote/detalhe/161528", "LOTE CONTENDO 189 ITENS, OBS: LOCALIZADO EM DIV. UNIDADES VEJA RELAÇÃO ABAIXO")</f>
      </c>
      <c r="C372" s="4" t="inlineStr">
        <is>
          <t>Não vendido</t>
        </is>
      </c>
      <c r="D372" s="4" t="inlineStr">
        <is>
          <t>252</t>
        </is>
      </c>
      <c r="E372" s="5" t="inlineStr">
        <is>
          <t>306.500,00</t>
        </is>
      </c>
      <c r="F372" s="4" t="inlineStr">
        <is>
          <t>2000.00</t>
        </is>
      </c>
    </row>
    <row collapsed="false" customFormat="false" customHeight="false" hidden="false" ht="12.1" outlineLevel="0" r="373">
      <c r="A373" s="5" t="s">
        <f>=HYPERLINK("https://www.leilaoonline.net/lote/detalhe/161653", "25101")</f>
      </c>
      <c r="B373" s="4" t="s">
        <f>=HYPERLINK("https://www.leilaoonline.net/lote/detalhe/161653", " 2113 ITENS DIVERSOS, LOTE DE MOBILIARIOS,  VEJA DESCRITIVO DE ITENS, LOC.OSASCO/SP  ")</f>
      </c>
      <c r="C373" s="4" t="inlineStr">
        <is>
          <t>Vendido</t>
        </is>
      </c>
      <c r="D373" s="4" t="inlineStr">
        <is>
          <t>30</t>
        </is>
      </c>
      <c r="E373" s="5" t="inlineStr">
        <is>
          <t>5.100,00</t>
        </is>
      </c>
      <c r="F373" s="4" t="inlineStr">
        <is>
          <t>250.00</t>
        </is>
      </c>
    </row>
    <row collapsed="false" customFormat="false" customHeight="false" hidden="false" ht="12.1" outlineLevel="0" r="374">
      <c r="A374" s="5" t="s">
        <f>=HYPERLINK("https://www.leilaoonline.net/lote/detalhe/159993", "30000")</f>
      </c>
      <c r="B374" s="4" t="s">
        <f>=HYPERLINK("https://www.leilaoonline.net/lote/detalhe/159993", " 02 MAQUINAS DE REPARO PNEU C/02 SUPORTE DE PROTEÇÃO E 02 BORRACHOES,FR065846, LOC. BARRA BONITA ")</f>
      </c>
      <c r="C374" s="4" t="inlineStr">
        <is>
          <t>Vendido</t>
        </is>
      </c>
      <c r="D374" s="4" t="inlineStr">
        <is>
          <t>9</t>
        </is>
      </c>
      <c r="E374" s="5" t="inlineStr">
        <is>
          <t>1.700,00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=HYPERLINK("https://www.leilaoonline.net/lote/detalhe/159999", "30001")</f>
      </c>
      <c r="B375" s="4" t="s">
        <f>=HYPERLINK("https://www.leilaoonline.net/lote/detalhe/159999", " 01 MAQUINA DE SOLDA, SUCATA DE MOTORES ELETRO/ELTRONICO, APROX. 100 UNDS, LOC. BARRA  BONITA ")</f>
      </c>
      <c r="C375" s="4" t="inlineStr">
        <is>
          <t>Vendido</t>
        </is>
      </c>
      <c r="D375" s="4" t="inlineStr">
        <is>
          <t>22</t>
        </is>
      </c>
      <c r="E375" s="5" t="inlineStr">
        <is>
          <t>17.500,00</t>
        </is>
      </c>
      <c r="F375" s="4" t="inlineStr">
        <is>
          <t>500.00</t>
        </is>
      </c>
    </row>
    <row collapsed="false" customFormat="false" customHeight="false" hidden="false" ht="12.1" outlineLevel="0" r="376">
      <c r="A376" s="5" t="s">
        <f>=HYPERLINK("https://www.leilaoonline.net/lote/detalhe/160003", "30002")</f>
      </c>
      <c r="B376" s="4" t="s">
        <f>=HYPERLINK("https://www.leilaoonline.net/lote/detalhe/160003", " TANQUE DE FIBRA APROX. 17.000 LTS., LOC. BARRA BONITA ")</f>
      </c>
      <c r="C376" s="4" t="inlineStr">
        <is>
          <t>Vendido</t>
        </is>
      </c>
      <c r="D376" s="4" t="inlineStr">
        <is>
          <t>12</t>
        </is>
      </c>
      <c r="E376" s="5" t="inlineStr">
        <is>
          <t>6.000,00</t>
        </is>
      </c>
      <c r="F376" s="4" t="inlineStr">
        <is>
          <t>250.00</t>
        </is>
      </c>
    </row>
    <row collapsed="false" customFormat="false" customHeight="false" hidden="false" ht="12.1" outlineLevel="0" r="377">
      <c r="A377" s="5" t="s">
        <f>=HYPERLINK("https://www.leilaoonline.net/lote/detalhe/159997", "30003")</f>
      </c>
      <c r="B377" s="4" t="s">
        <f>=HYPERLINK("https://www.leilaoonline.net/lote/detalhe/159997", " TANQUE FIBRA, APROX. 30.000 LTS., LOC. BARRA BONITA ")</f>
      </c>
      <c r="C377" s="4" t="inlineStr">
        <is>
          <t>Vendido</t>
        </is>
      </c>
      <c r="D377" s="4" t="inlineStr">
        <is>
          <t>43</t>
        </is>
      </c>
      <c r="E377" s="5" t="inlineStr">
        <is>
          <t>14.750,00</t>
        </is>
      </c>
      <c r="F377" s="4" t="inlineStr">
        <is>
          <t>500.00</t>
        </is>
      </c>
    </row>
    <row collapsed="false" customFormat="false" customHeight="false" hidden="false" ht="12.1" outlineLevel="0" r="378">
      <c r="A378" s="5" t="s">
        <f>=HYPERLINK("https://www.leilaoonline.net/lote/detalhe/159995", "30004")</f>
      </c>
      <c r="B378" s="4" t="s">
        <f>=HYPERLINK("https://www.leilaoonline.net/lote/detalhe/159995", " TANQUE DE FIBRA APROX. 30.000 LTS., LOC. BARRA BONITA ")</f>
      </c>
      <c r="C378" s="4" t="inlineStr">
        <is>
          <t>Vendido</t>
        </is>
      </c>
      <c r="D378" s="4" t="inlineStr">
        <is>
          <t>21</t>
        </is>
      </c>
      <c r="E378" s="5" t="inlineStr">
        <is>
          <t>15.000,00</t>
        </is>
      </c>
      <c r="F378" s="4" t="inlineStr">
        <is>
          <t>500.00</t>
        </is>
      </c>
    </row>
    <row collapsed="false" customFormat="false" customHeight="false" hidden="false" ht="12.1" outlineLevel="0" r="379">
      <c r="A379" s="5" t="s">
        <f>=HYPERLINK("https://www.leilaoonline.net/lote/detalhe/159996", "30005")</f>
      </c>
      <c r="B379" s="4" t="s">
        <f>=HYPERLINK("https://www.leilaoonline.net/lote/detalhe/159996", " EQUIPAMENTO INDUSTRIAL, FR196566, LOC. BARRA BONITA ")</f>
      </c>
      <c r="C379" s="4" t="inlineStr">
        <is>
          <t>Não vendido</t>
        </is>
      </c>
      <c r="D379" s="4" t="inlineStr">
        <is>
          <t>27</t>
        </is>
      </c>
      <c r="E379" s="5" t="inlineStr">
        <is>
          <t>11.500,00</t>
        </is>
      </c>
      <c r="F379" s="4" t="inlineStr">
        <is>
          <t>500.00</t>
        </is>
      </c>
    </row>
    <row collapsed="false" customFormat="false" customHeight="false" hidden="false" ht="12.1" outlineLevel="0" r="380">
      <c r="A380" s="5" t="s">
        <f>=HYPERLINK("https://www.leilaoonline.net/lote/detalhe/160005", "30006")</f>
      </c>
      <c r="B380" s="4" t="s">
        <f>=HYPERLINK("https://www.leilaoonline.net/lote/detalhe/160005", " 02 ROSCAS DE INOX COM REDUTOR, 4 MTS., LOC. BARRA BONITA ")</f>
      </c>
      <c r="C380" s="4" t="inlineStr">
        <is>
          <t>Vendido</t>
        </is>
      </c>
      <c r="D380" s="4" t="inlineStr">
        <is>
          <t>35</t>
        </is>
      </c>
      <c r="E380" s="5" t="inlineStr">
        <is>
          <t>15.000,00</t>
        </is>
      </c>
      <c r="F380" s="4" t="inlineStr">
        <is>
          <t>500.00</t>
        </is>
      </c>
    </row>
    <row collapsed="false" customFormat="false" customHeight="false" hidden="false" ht="12.1" outlineLevel="0" r="381">
      <c r="A381" s="5" t="s">
        <f>=HYPERLINK("https://www.leilaoonline.net/lote/detalhe/160020", "30007")</f>
      </c>
      <c r="B381" s="4" t="s">
        <f>=HYPERLINK("https://www.leilaoonline.net/lote/detalhe/160020", " TRATOR VALTRA BH 210 , ANO 2014,  FR116532, LOC. PARAISO ")</f>
      </c>
      <c r="C381" s="4" t="inlineStr">
        <is>
          <t>Vendido</t>
        </is>
      </c>
      <c r="D381" s="4" t="inlineStr">
        <is>
          <t>100</t>
        </is>
      </c>
      <c r="E381" s="5" t="inlineStr">
        <is>
          <t>165.500,00</t>
        </is>
      </c>
      <c r="F381" s="4" t="inlineStr">
        <is>
          <t>1500.00</t>
        </is>
      </c>
    </row>
    <row collapsed="false" customFormat="false" customHeight="false" hidden="false" ht="12.1" outlineLevel="0" r="382">
      <c r="A382" s="5" t="s">
        <f>=HYPERLINK("https://www.leilaoonline.net/lote/detalhe/160006", "30008")</f>
      </c>
      <c r="B382" s="4" t="s">
        <f>=HYPERLINK("https://www.leilaoonline.net/lote/detalhe/160006", " SUCATA DE FAQUINHAS E FAÇÕES, VENDA POR KG, APROX. 2 TON., ( A CAÇAMBA NÃO FAZ PARTE DO LOTE )  LOC. PARAISO ")</f>
      </c>
      <c r="C382" s="4" t="inlineStr">
        <is>
          <t>Não vendido</t>
        </is>
      </c>
      <c r="D382" s="4" t="inlineStr">
        <is>
          <t>8</t>
        </is>
      </c>
      <c r="E382" s="5" t="inlineStr">
        <is>
          <t>2.200,00</t>
        </is>
      </c>
      <c r="F382" s="4" t="inlineStr">
        <is>
          <t>0.10</t>
        </is>
      </c>
    </row>
    <row collapsed="false" customFormat="false" customHeight="false" hidden="false" ht="12.1" outlineLevel="0" r="383">
      <c r="A383" s="5" t="s">
        <f>=HYPERLINK("https://www.leilaoonline.net/lote/detalhe/159998", "30009")</f>
      </c>
      <c r="B383" s="4" t="s">
        <f>=HYPERLINK("https://www.leilaoonline.net/lote/detalhe/159998", " SUCATA DE TUBO DE EVAPORAÇÃO, VENDA POR KG., APROX. 10 TON., LOC. PARAISO ")</f>
      </c>
      <c r="C383" s="4" t="inlineStr">
        <is>
          <t>Vendido</t>
        </is>
      </c>
      <c r="D383" s="4" t="inlineStr">
        <is>
          <t>24</t>
        </is>
      </c>
      <c r="E383" s="5" t="inlineStr">
        <is>
          <t>42.000,00</t>
        </is>
      </c>
      <c r="F383" s="4" t="inlineStr">
        <is>
          <t>0.10</t>
        </is>
      </c>
    </row>
    <row collapsed="false" customFormat="false" customHeight="false" hidden="false" ht="12.1" outlineLevel="0" r="384">
      <c r="A384" s="5" t="s">
        <f>=HYPERLINK("https://www.leilaoonline.net/lote/detalhe/159992", "30010")</f>
      </c>
      <c r="B384" s="4" t="s">
        <f>=HYPERLINK("https://www.leilaoonline.net/lote/detalhe/159992", " MAQUINA DE COSTURA, SISTEMA DE ENSACAR 50KG DE AÇUCAR, BALANÇAS E ESTEIRAS TOLEDO, 03 CONJ., LOC. PARAISO ")</f>
      </c>
      <c r="C384" s="4" t="inlineStr">
        <is>
          <t>Não vendido</t>
        </is>
      </c>
      <c r="D384" s="4" t="inlineStr">
        <is>
          <t>17</t>
        </is>
      </c>
      <c r="E384" s="5" t="inlineStr">
        <is>
          <t>15.000,00</t>
        </is>
      </c>
      <c r="F384" s="4" t="inlineStr">
        <is>
          <t>500.00</t>
        </is>
      </c>
    </row>
    <row collapsed="false" customFormat="false" customHeight="false" hidden="false" ht="12.1" outlineLevel="0" r="385">
      <c r="A385" s="5" t="s">
        <f>=HYPERLINK("https://www.leilaoonline.net/lote/detalhe/160013", "30011")</f>
      </c>
      <c r="B385" s="4" t="s">
        <f>=HYPERLINK("https://www.leilaoonline.net/lote/detalhe/160013", " DETECTOR DE METAL E ESTEIRA, FR244946/244947, LOC. PARAISO ")</f>
      </c>
      <c r="C385" s="4" t="inlineStr">
        <is>
          <t>Não vendido</t>
        </is>
      </c>
      <c r="D385" s="4" t="inlineStr">
        <is>
          <t>1</t>
        </is>
      </c>
      <c r="E385" s="5" t="inlineStr">
        <is>
          <t>3.000,00</t>
        </is>
      </c>
      <c r="F385" s="4" t="inlineStr">
        <is>
          <t>250.00</t>
        </is>
      </c>
    </row>
    <row collapsed="false" customFormat="false" customHeight="false" hidden="false" ht="12.1" outlineLevel="0" r="386">
      <c r="A386" s="5" t="s">
        <f>=HYPERLINK("https://www.leilaoonline.net/lote/detalhe/160018", "30012")</f>
      </c>
      <c r="B386" s="4" t="s">
        <f>=HYPERLINK("https://www.leilaoonline.net/lote/detalhe/160018", " S. REBOQUE RANDON SR CA, ANO 2007/2007, AZUL, FR91177,  ( VENDA SEM RODAS E SEM PNEUS), LOC. SANTA CANDIDA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30.000,00</t>
        </is>
      </c>
      <c r="F386" s="4" t="inlineStr">
        <is>
          <t>1000.00</t>
        </is>
      </c>
    </row>
    <row collapsed="false" customFormat="false" customHeight="false" hidden="false" ht="12.1" outlineLevel="0" r="387">
      <c r="A387" s="5" t="s">
        <f>=HYPERLINK("https://www.leilaoonline.net/lote/detalhe/160000", "30013")</f>
      </c>
      <c r="B387" s="4" t="s">
        <f>=HYPERLINK("https://www.leilaoonline.net/lote/detalhe/160000", " REBOQUE RANDONSP RQ CA, ANO 2010/2011, AZUL ,FR121479, LOC. SANTA CANDIDA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45.000,00</t>
        </is>
      </c>
      <c r="F387" s="4" t="inlineStr">
        <is>
          <t>1000.00</t>
        </is>
      </c>
    </row>
    <row collapsed="false" customFormat="false" customHeight="false" hidden="false" ht="12.1" outlineLevel="0" r="388">
      <c r="A388" s="5" t="s">
        <f>=HYPERLINK("https://www.leilaoonline.net/lote/detalhe/159994", "30014")</f>
      </c>
      <c r="B388" s="4" t="s">
        <f>=HYPERLINK("https://www.leilaoonline.net/lote/detalhe/159994", " REBOQUE RANDONSP RQ CA, ANO 2010/2011, AZUL ,FR70383, ( VENDA SEM RODAS E SEM PNEUS), LOC. SANTA CANDIDA 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35.000,00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=HYPERLINK("https://www.leilaoonline.net/lote/detalhe/160010", "30015")</f>
      </c>
      <c r="B389" s="4" t="s">
        <f>=HYPERLINK("https://www.leilaoonline.net/lote/detalhe/160010", " S.REBOQUE RANDONSP SRCA CA, ANO 2012/2012, AZUL, FR70391, ( VENDA SEM RODAS E SEM PNEUS),  LOC. SANTA CANDIDA ")</f>
      </c>
      <c r="C389" s="4" t="inlineStr">
        <is>
          <t>Não vendido</t>
        </is>
      </c>
      <c r="D389" s="4" t="inlineStr">
        <is>
          <t>2</t>
        </is>
      </c>
      <c r="E389" s="5" t="inlineStr">
        <is>
          <t>36.000,00</t>
        </is>
      </c>
      <c r="F389" s="4" t="inlineStr">
        <is>
          <t>1000.00</t>
        </is>
      </c>
    </row>
    <row collapsed="false" customFormat="false" customHeight="false" hidden="false" ht="12.1" outlineLevel="0" r="390">
      <c r="A390" s="5" t="s">
        <f>=HYPERLINK("https://www.leilaoonline.net/lote/detalhe/160007", "30016")</f>
      </c>
      <c r="B390" s="4" t="s">
        <f>=HYPERLINK("https://www.leilaoonline.net/lote/detalhe/160007", " S. REBOQUE RANDON SR CA, ANO 2007/2007, AZUL , FR96210, ( VENDA SEM RODAS E SEM PNEUS), LOC. SANTA CANDIDA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30.000,00</t>
        </is>
      </c>
      <c r="F390" s="4" t="inlineStr">
        <is>
          <t>1000.00</t>
        </is>
      </c>
    </row>
    <row collapsed="false" customFormat="false" customHeight="false" hidden="false" ht="12.1" outlineLevel="0" r="391">
      <c r="A391" s="5" t="s">
        <f>=HYPERLINK("https://www.leilaoonline.net/lote/detalhe/160027", "30017")</f>
      </c>
      <c r="B391" s="4" t="s">
        <f>=HYPERLINK("https://www.leilaoonline.net/lote/detalhe/160027", " S. REBOQUE RANDON SRCA, ANO 2008/2008, AZUL , FR92250, ( VENDA SEM RODAS E SEM PNEUS), LOC. SANTA CANDIDA ")</f>
      </c>
      <c r="C391" s="4" t="inlineStr">
        <is>
          <t>Não vendido</t>
        </is>
      </c>
      <c r="D391" s="4" t="inlineStr">
        <is>
          <t>2</t>
        </is>
      </c>
      <c r="E391" s="5" t="inlineStr">
        <is>
          <t>31.000,00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=HYPERLINK("https://www.leilaoonline.net/lote/detalhe/160025", "30018")</f>
      </c>
      <c r="B392" s="4" t="s">
        <f>=HYPERLINK("https://www.leilaoonline.net/lote/detalhe/160025", " S. REBOQUE RANDON SRCA, ANO 2008/2008, AZUL , FR88633, ( VENDA SEM RODAS E SEM PNEUS),  LOC. SANTA CANDIDA 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30.000,00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=HYPERLINK("https://www.leilaoonline.net/lote/detalhe/160008", "30019")</f>
      </c>
      <c r="B393" s="4" t="s">
        <f>=HYPERLINK("https://www.leilaoonline.net/lote/detalhe/160008", " S. REBOQUE RANDON SRCA CA, ANO 2008/2008, AZUL , FR96245, ( VENDA SEM RODAS E SEM PNEUS), LOC. SANTA CANDIDA 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30.000,00</t>
        </is>
      </c>
      <c r="F393" s="4" t="inlineStr">
        <is>
          <t>1000.00</t>
        </is>
      </c>
    </row>
    <row collapsed="false" customFormat="false" customHeight="false" hidden="false" ht="12.1" outlineLevel="0" r="394">
      <c r="A394" s="5" t="s">
        <f>=HYPERLINK("https://www.leilaoonline.net/lote/detalhe/160009", "30020")</f>
      </c>
      <c r="B394" s="4" t="s">
        <f>=HYPERLINK("https://www.leilaoonline.net/lote/detalhe/160009", " REBOQUE RANDONSP RQ CA, ANO 2010/2010, AZUL, FR70359, ( VENDA SEM RODAS E SEM PNEUS),  LOC. SANTA CANDIDA 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35.000,00</t>
        </is>
      </c>
      <c r="F394" s="4" t="inlineStr">
        <is>
          <t>1000.00</t>
        </is>
      </c>
    </row>
    <row collapsed="false" customFormat="false" customHeight="false" hidden="false" ht="12.1" outlineLevel="0" r="395">
      <c r="A395" s="5" t="s">
        <f>=HYPERLINK("https://www.leilaoonline.net/lote/detalhe/160004", "30021")</f>
      </c>
      <c r="B395" s="4" t="s">
        <f>=HYPERLINK("https://www.leilaoonline.net/lote/detalhe/160004", " S. REBOQUE RANDON SR CA, ANO 2007/2007, AZUL , FR91175, ( VENDA SEM RODAS E SEM PNEUS),  LOC. SANTA CANDIDA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30.000,00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=HYPERLINK("https://www.leilaoonline.net/lote/detalhe/160016", "30022")</f>
      </c>
      <c r="B396" s="4" t="s">
        <f>=HYPERLINK("https://www.leilaoonline.net/lote/detalhe/160016", " S. REBOQUE RANDON SR CA, ANO 2007/2007, AZUL, FR91166, ( VENDA SEM RODAS E SEM PNEUS), LOC. SANTA CANDIDA 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30.000,00</t>
        </is>
      </c>
      <c r="F396" s="4" t="inlineStr">
        <is>
          <t>1000.00</t>
        </is>
      </c>
    </row>
    <row collapsed="false" customFormat="false" customHeight="false" hidden="false" ht="12.1" outlineLevel="0" r="397">
      <c r="A397" s="5" t="s">
        <f>=HYPERLINK("https://www.leilaoonline.net/lote/detalhe/160002", "30023")</f>
      </c>
      <c r="B397" s="4" t="s">
        <f>=HYPERLINK("https://www.leilaoonline.net/lote/detalhe/160002", " S. REBOQUE RANDON SR CA, ANO 2007/2007, AZUL, FR121391, ( VENDA SEM RODAS E SEM PNEUS),  LOC. SANTA CANDIDA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30.000,00</t>
        </is>
      </c>
      <c r="F397" s="4" t="inlineStr">
        <is>
          <t>1000.00</t>
        </is>
      </c>
    </row>
    <row collapsed="false" customFormat="false" customHeight="false" hidden="false" ht="12.1" outlineLevel="0" r="398">
      <c r="A398" s="5" t="s">
        <f>=HYPERLINK("https://www.leilaoonline.net/lote/detalhe/160022", "30024")</f>
      </c>
      <c r="B398" s="4" t="s">
        <f>=HYPERLINK("https://www.leilaoonline.net/lote/detalhe/160022", " REBOQUE RANDONSP RQ CA, ANO 2010/2010, AZUL, FR96740, ( VENDA SEM RODAS E SEM PNEUS), LOC. SANTA CANDIDA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=HYPERLINK("https://www.leilaoonline.net/lote/detalhe/160026", "30025")</f>
      </c>
      <c r="B399" s="4" t="s">
        <f>=HYPERLINK("https://www.leilaoonline.net/lote/detalhe/160026", " REBOQUE RANDONSP RQ CA, ANO 2010/2010, AZUL, FR70365, ( VENDA SEM RODAS E SEM PNEUS),  LOC. SANTA CANDIDA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35.000,00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=HYPERLINK("https://www.leilaoonline.net/lote/detalhe/160024", "30026")</f>
      </c>
      <c r="B400" s="4" t="s">
        <f>=HYPERLINK("https://www.leilaoonline.net/lote/detalhe/160024", " S.REBOQUE RANDON SR CA, ANO 2007/2007, AZUL, FR96185, ( VENDA SEM RODAS E SEM PNEUS), LOC. SANTA CANDIDA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=HYPERLINK("https://www.leilaoonline.net/lote/detalhe/160012", "30028")</f>
      </c>
      <c r="B401" s="4" t="s">
        <f>=HYPERLINK("https://www.leilaoonline.net/lote/detalhe/160012", " REBOQUE RANDONSP RQ CA, ANO 2010/2010, AZUL, FR46866, ( VENDA SEM RODAS E SEM PNEUS),  LOC. SANTA CANDIDA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35.000,00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=HYPERLINK("https://www.leilaoonline.net/lote/detalhe/160019", "30029")</f>
      </c>
      <c r="B402" s="4" t="s">
        <f>=HYPERLINK("https://www.leilaoonline.net/lote/detalhe/160019", " S. REBOUQE SR CA, ANO 2007/2007, AZUL, FR96198, ( VENDA SEM RODAS E SEM PNEUS), LOC. SANTA CANDIDA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30.000,00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=HYPERLINK("https://www.leilaoonline.net/lote/detalhe/160017", "30030")</f>
      </c>
      <c r="B403" s="4" t="s">
        <f>=HYPERLINK("https://www.leilaoonline.net/lote/detalhe/160017", " REBOQUE RANDONSP RQ CA, ANO 2010/2010, AZUL, FR46882, ( VENDA SEM RODAS E SEM PNEUS), LOC. SANTA CANDIDA ")</f>
      </c>
      <c r="C403" s="4" t="inlineStr">
        <is>
          <t>Não vendido</t>
        </is>
      </c>
      <c r="D403" s="4" t="inlineStr">
        <is>
          <t>1</t>
        </is>
      </c>
      <c r="E403" s="5" t="inlineStr">
        <is>
          <t>35.000,00</t>
        </is>
      </c>
      <c r="F403" s="4" t="inlineStr">
        <is>
          <t>1000.00</t>
        </is>
      </c>
    </row>
    <row collapsed="false" customFormat="false" customHeight="false" hidden="false" ht="12.1" outlineLevel="0" r="404">
      <c r="A404" s="5" t="s">
        <f>=HYPERLINK("https://www.leilaoonline.net/lote/detalhe/160011", "30031")</f>
      </c>
      <c r="B404" s="4" t="s">
        <f>=HYPERLINK("https://www.leilaoonline.net/lote/detalhe/160011", " REBOQUE RANDONSP RQ CA, ANO 2010/2010, AZUL, FR46881, ( VENDA SEM RODAS E SEM PNEUS),  LOC. SANTA CANDIDA 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35.000,00</t>
        </is>
      </c>
      <c r="F404" s="4" t="inlineStr">
        <is>
          <t>1000.00</t>
        </is>
      </c>
    </row>
    <row collapsed="false" customFormat="false" customHeight="false" hidden="false" ht="12.1" outlineLevel="0" r="405">
      <c r="A405" s="5" t="s">
        <f>=HYPERLINK("https://www.leilaoonline.net/lote/detalhe/160014", "30032")</f>
      </c>
      <c r="B405" s="4" t="s">
        <f>=HYPERLINK("https://www.leilaoonline.net/lote/detalhe/160014", " REBOQUE RANDONSP RQ CA, ANO 2010/2010, AZUL, FR96790,  ( VENDA SEM RODAS E SEM PNEUS), LOC. SANTA CANDIDA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35.000,00</t>
        </is>
      </c>
      <c r="F405" s="4" t="inlineStr">
        <is>
          <t>1000.00</t>
        </is>
      </c>
    </row>
    <row collapsed="false" customFormat="false" customHeight="false" hidden="false" ht="12.1" outlineLevel="0" r="406">
      <c r="A406" s="5" t="s">
        <f>=HYPERLINK("https://www.leilaoonline.net/lote/detalhe/160023", "30033")</f>
      </c>
      <c r="B406" s="4" t="s">
        <f>=HYPERLINK("https://www.leilaoonline.net/lote/detalhe/160023", " REBOQUE RANDONSP RQ CA, ANO 2012/2012, AZUL, FR10902,( VENDA SEM RODAS E SEM PNEUS), LOC. SANTA CANDIDA ")</f>
      </c>
      <c r="C406" s="4" t="inlineStr">
        <is>
          <t>Não vendido</t>
        </is>
      </c>
      <c r="D406" s="4" t="inlineStr">
        <is>
          <t>2</t>
        </is>
      </c>
      <c r="E406" s="5" t="inlineStr">
        <is>
          <t>36.000,00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=HYPERLINK("https://www.leilaoonline.net/lote/detalhe/160015", "30034")</f>
      </c>
      <c r="B407" s="4" t="s">
        <f>=HYPERLINK("https://www.leilaoonline.net/lote/detalhe/160015", " REBOQUE RANDON RQ CA, ANO 2012/2012, AZUL , FR10903, ( VENDA SEM RODAS E SEM PNEUS), LOC. SANTA CANDIDA ")</f>
      </c>
      <c r="C407" s="4" t="inlineStr">
        <is>
          <t>Não vendido</t>
        </is>
      </c>
      <c r="D407" s="4" t="inlineStr">
        <is>
          <t>4</t>
        </is>
      </c>
      <c r="E407" s="5" t="inlineStr">
        <is>
          <t>38.000,00</t>
        </is>
      </c>
      <c r="F407" s="4" t="inlineStr">
        <is>
          <t>1000.00</t>
        </is>
      </c>
    </row>
    <row collapsed="false" customFormat="false" customHeight="false" hidden="false" ht="12.1" outlineLevel="0" r="408">
      <c r="A408" s="5" t="s">
        <f>=HYPERLINK("https://www.leilaoonline.net/lote/detalhe/160021", "30035")</f>
      </c>
      <c r="B408" s="4" t="s">
        <f>=HYPERLINK("https://www.leilaoonline.net/lote/detalhe/160021", " REBOQUE RANDONSP RQ CA, ANO 2010/2010, AZUL , FR96826, ( VENDA SEM RODAS E SEM PNEUS), LOC. SANTA CANDIDA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35.000,00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=HYPERLINK("https://www.leilaoonline.net/lote/detalhe/160028", "30036")</f>
      </c>
      <c r="B409" s="4" t="s">
        <f>=HYPERLINK("https://www.leilaoonline.net/lote/detalhe/160028", " REBOQUE RANDONSP RQ CA, ANO 2010/2010, AZUL , FR96791, ( VENDA SEM RODAS E SEM PNEUS), LOC. SANTA CANDIDA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35.000,00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=HYPERLINK("https://www.leilaoonline.net/lote/detalhe/159772", "30037")</f>
      </c>
      <c r="B410" s="4" t="s">
        <f>=HYPERLINK("https://www.leilaoonline.net/lote/detalhe/159772", " COLHEDORA J. DEERE 3522, ANO 2012, FR139516, LOC. COSTA PINTO 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25.000,00</t>
        </is>
      </c>
      <c r="F410" s="4" t="inlineStr">
        <is>
          <t>1000.00</t>
        </is>
      </c>
    </row>
    <row collapsed="false" customFormat="false" customHeight="false" hidden="false" ht="12.1" outlineLevel="0" r="411">
      <c r="A411" s="5" t="s">
        <f>=HYPERLINK("https://www.leilaoonline.net/lote/detalhe/159773", "30038")</f>
      </c>
      <c r="B411" s="4" t="s">
        <f>=HYPERLINK("https://www.leilaoonline.net/lote/detalhe/159773", " CAMINHÃO M.BENZ/ AXOR 3344S, 6X4, ANO 2014/2014, BRANCA, FR362065, LOC. COSTA PINTO ")</f>
      </c>
      <c r="C411" s="4" t="inlineStr">
        <is>
          <t>Não vendido</t>
        </is>
      </c>
      <c r="D411" s="4" t="inlineStr">
        <is>
          <t>47</t>
        </is>
      </c>
      <c r="E411" s="5" t="inlineStr">
        <is>
          <t>104.000,00</t>
        </is>
      </c>
      <c r="F411" s="4" t="inlineStr">
        <is>
          <t>1500.00</t>
        </is>
      </c>
    </row>
    <row collapsed="false" customFormat="false" customHeight="false" hidden="false" ht="12.1" outlineLevel="0" r="412">
      <c r="A412" s="5" t="s">
        <f>=HYPERLINK("https://www.leilaoonline.net/lote/detalhe/159778", "30039")</f>
      </c>
      <c r="B412" s="4" t="s">
        <f>=HYPERLINK("https://www.leilaoonline.net/lote/detalhe/159778", " SOPRADORA DE FILTRO DE AR, FR268101, LOC. COSTA PINTO 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2.500,00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=HYPERLINK("https://www.leilaoonline.net/lote/detalhe/159794", "30040")</f>
      </c>
      <c r="B413" s="4" t="s">
        <f>=HYPERLINK("https://www.leilaoonline.net/lote/detalhe/159794", " CARRETA ESP. CALCARIO SOLLUS, FR7239, LOC. COSTA PINTO")</f>
      </c>
      <c r="C413" s="4" t="inlineStr">
        <is>
          <t>Vendido</t>
        </is>
      </c>
      <c r="D413" s="4" t="inlineStr">
        <is>
          <t>1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=HYPERLINK("https://www.leilaoonline.net/lote/detalhe/159780", "30041")</f>
      </c>
      <c r="B414" s="4" t="s">
        <f>=HYPERLINK("https://www.leilaoonline.net/lote/detalhe/159780", " CARRETA  SOLLUS DIST. DE TORTA FILTRO, FR57309, LOC. COSTA PINTO ")</f>
      </c>
      <c r="C414" s="4" t="inlineStr">
        <is>
          <t>Vendido</t>
        </is>
      </c>
      <c r="D414" s="4" t="inlineStr">
        <is>
          <t>1</t>
        </is>
      </c>
      <c r="E414" s="5" t="inlineStr">
        <is>
          <t>3.000,00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=HYPERLINK("https://www.leilaoonline.net/lote/detalhe/159774", "30042")</f>
      </c>
      <c r="B415" s="4" t="s">
        <f>=HYPERLINK("https://www.leilaoonline.net/lote/detalhe/159774", " CULTIVADOR DE CANA , 2 LINHAS, FR139751, LOC. COSTA PINTO ")</f>
      </c>
      <c r="C415" s="4" t="inlineStr">
        <is>
          <t>Não vendido</t>
        </is>
      </c>
      <c r="D415" s="4" t="inlineStr">
        <is>
          <t>1</t>
        </is>
      </c>
      <c r="E415" s="5" t="inlineStr">
        <is>
          <t>3.500,00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=HYPERLINK("https://www.leilaoonline.net/lote/detalhe/159779", "30043")</f>
      </c>
      <c r="B416" s="4" t="s">
        <f>=HYPERLINK("https://www.leilaoonline.net/lote/detalhe/159779", " CULTIVADOR DE CANA , 2 LINHAS, FR139754, LOC. COSTA PINTO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3.500,00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=HYPERLINK("https://www.leilaoonline.net/lote/detalhe/159810", "30044")</f>
      </c>
      <c r="B417" s="4" t="s">
        <f>=HYPERLINK("https://www.leilaoonline.net/lote/detalhe/159810", " CULTIVADOR DE CANA , 2 LINHAS, FR57214, LOC. COSTA PINTO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=HYPERLINK("https://www.leilaoonline.net/lote/detalhe/159775", "30045")</f>
      </c>
      <c r="B418" s="4" t="s">
        <f>=HYPERLINK("https://www.leilaoonline.net/lote/detalhe/159775", " CAMINHÃO M.BENZ/ AXOR 3344S 6X4, ANO 2015/2015, BRANCA, FR58640, LOC. COSTA PINTO ")</f>
      </c>
      <c r="C418" s="4" t="inlineStr">
        <is>
          <t>Não vendido</t>
        </is>
      </c>
      <c r="D418" s="4" t="inlineStr">
        <is>
          <t>69</t>
        </is>
      </c>
      <c r="E418" s="5" t="inlineStr">
        <is>
          <t>181.000,00</t>
        </is>
      </c>
      <c r="F418" s="4" t="inlineStr">
        <is>
          <t>1500.00</t>
        </is>
      </c>
    </row>
    <row collapsed="false" customFormat="false" customHeight="false" hidden="false" ht="12.1" outlineLevel="0" r="419">
      <c r="A419" s="5" t="s">
        <f>=HYPERLINK("https://www.leilaoonline.net/lote/detalhe/159787", "30046")</f>
      </c>
      <c r="B419" s="4" t="s">
        <f>=HYPERLINK("https://www.leilaoonline.net/lote/detalhe/159787", " CAMINHÃO M.BENZ/AXOR 3344S, 6X4, ANO 2014/2014, BRANCA, FR10639, LOC. COSTA PINTO ")</f>
      </c>
      <c r="C419" s="4" t="inlineStr">
        <is>
          <t>Não vendido</t>
        </is>
      </c>
      <c r="D419" s="4" t="inlineStr">
        <is>
          <t>79</t>
        </is>
      </c>
      <c r="E419" s="5" t="inlineStr">
        <is>
          <t>181.000,00</t>
        </is>
      </c>
      <c r="F419" s="4" t="inlineStr">
        <is>
          <t>1500.00</t>
        </is>
      </c>
    </row>
    <row collapsed="false" customFormat="false" customHeight="false" hidden="false" ht="12.1" outlineLevel="0" r="420">
      <c r="A420" s="5" t="s">
        <f>=HYPERLINK("https://www.leilaoonline.net/lote/detalhe/159840", "30049")</f>
      </c>
      <c r="B420" s="4" t="s">
        <f>=HYPERLINK("https://www.leilaoonline.net/lote/detalhe/159840", " CAMINHÃO VW/31320 CNC 6X4, ANO 2011/2012, BRANCA, TRASNBORDO CARROC. STA ISABEL 6T, FR139287/26049, LOC. SANTA HELENA ")</f>
      </c>
      <c r="C420" s="4" t="inlineStr">
        <is>
          <t>Não vendido</t>
        </is>
      </c>
      <c r="D420" s="4" t="inlineStr">
        <is>
          <t>84</t>
        </is>
      </c>
      <c r="E420" s="5" t="inlineStr">
        <is>
          <t>147.000,00</t>
        </is>
      </c>
      <c r="F420" s="4" t="inlineStr">
        <is>
          <t>1500.00</t>
        </is>
      </c>
    </row>
    <row collapsed="false" customFormat="false" customHeight="false" hidden="false" ht="12.1" outlineLevel="0" r="421">
      <c r="A421" s="5" t="s">
        <f>=HYPERLINK("https://www.leilaoonline.net/lote/detalhe/159849", "30051")</f>
      </c>
      <c r="B421" s="4" t="s">
        <f>=HYPERLINK("https://www.leilaoonline.net/lote/detalhe/159849", " CAMINHÃO M.BENZ/L 2219, ANO 1984/1984, BRANCA, FR52477, LOC. SANTA HELENA ")</f>
      </c>
      <c r="C421" s="4" t="inlineStr">
        <is>
          <t>Não vendido</t>
        </is>
      </c>
      <c r="D421" s="4" t="inlineStr">
        <is>
          <t>54</t>
        </is>
      </c>
      <c r="E421" s="5" t="inlineStr">
        <is>
          <t>73.000,00</t>
        </is>
      </c>
      <c r="F421" s="4" t="inlineStr">
        <is>
          <t>1000.00</t>
        </is>
      </c>
    </row>
    <row collapsed="false" customFormat="false" customHeight="false" hidden="false" ht="12.1" outlineLevel="0" r="422">
      <c r="A422" s="5" t="s">
        <f>=HYPERLINK("https://www.leilaoonline.net/lote/detalhe/159858", "30052")</f>
      </c>
      <c r="B422" s="4" t="s">
        <f>=HYPERLINK("https://www.leilaoonline.net/lote/detalhe/159858", " ONIBUS M.BENZ/OF 1318, ANO 1993/1993, BRANCA, FR139206, LOC. SANTA HELENA ")</f>
      </c>
      <c r="C422" s="4" t="inlineStr">
        <is>
          <t>Não vendido</t>
        </is>
      </c>
      <c r="D422" s="4" t="inlineStr">
        <is>
          <t>20</t>
        </is>
      </c>
      <c r="E422" s="5" t="inlineStr">
        <is>
          <t>22.000,00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=HYPERLINK("https://www.leilaoonline.net/lote/detalhe/159829", "30054")</f>
      </c>
      <c r="B423" s="4" t="s">
        <f>=HYPERLINK("https://www.leilaoonline.net/lote/detalhe/159829", " REBOQUE SOUFER CA 2E, ANO 2012/2012, CINZA , FR112329, LOC. SANTA HELENA 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35.000,00</t>
        </is>
      </c>
      <c r="F423" s="4" t="inlineStr">
        <is>
          <t>1000.00</t>
        </is>
      </c>
    </row>
    <row collapsed="false" customFormat="false" customHeight="false" hidden="false" ht="12.1" outlineLevel="0" r="424">
      <c r="A424" s="5" t="s">
        <f>=HYPERLINK("https://www.leilaoonline.net/lote/detalhe/159845", "30055")</f>
      </c>
      <c r="B424" s="4" t="s">
        <f>=HYPERLINK("https://www.leilaoonline.net/lote/detalhe/159845", "ÔNIBUS M.BENZ/OF 1315, ANO 1991/1991, AZUL, FR139295,LOC. SANTA HELENA ")</f>
      </c>
      <c r="C424" s="4" t="inlineStr">
        <is>
          <t>Não vendido</t>
        </is>
      </c>
      <c r="D424" s="4" t="inlineStr">
        <is>
          <t>21</t>
        </is>
      </c>
      <c r="E424" s="5" t="inlineStr">
        <is>
          <t>22.000,00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=HYPERLINK("https://www.leilaoonline.net/lote/detalhe/159822", "30056")</f>
      </c>
      <c r="B425" s="4" t="s">
        <f>=HYPERLINK("https://www.leilaoonline.net/lote/detalhe/159822", " CAMINHÃO VW/26.220 EURO3 WORKER, ANO 2010/2010, BRANCA, FR139281, LOC. SANTA HELENA ")</f>
      </c>
      <c r="C425" s="4" t="inlineStr">
        <is>
          <t>Vendido</t>
        </is>
      </c>
      <c r="D425" s="4" t="inlineStr">
        <is>
          <t>110</t>
        </is>
      </c>
      <c r="E425" s="5" t="inlineStr">
        <is>
          <t>144.500,00</t>
        </is>
      </c>
      <c r="F425" s="4" t="inlineStr">
        <is>
          <t>1500.00</t>
        </is>
      </c>
    </row>
    <row collapsed="false" customFormat="false" customHeight="false" hidden="false" ht="12.1" outlineLevel="0" r="426">
      <c r="A426" s="5" t="s">
        <f>=HYPERLINK("https://www.leilaoonline.net/lote/detalhe/159844", "30057")</f>
      </c>
      <c r="B426" s="4" t="s">
        <f>=HYPERLINK("https://www.leilaoonline.net/lote/detalhe/159844", " CAMINHÃO VW/31.320 CNC 6X4, ANO 2010/2010, BRANCA, FR34103, LOC. SANTA HELENA ")</f>
      </c>
      <c r="C426" s="4" t="inlineStr">
        <is>
          <t>Não vendido</t>
        </is>
      </c>
      <c r="D426" s="4" t="inlineStr">
        <is>
          <t>33</t>
        </is>
      </c>
      <c r="E426" s="5" t="inlineStr">
        <is>
          <t>156.500,00</t>
        </is>
      </c>
      <c r="F426" s="4" t="inlineStr">
        <is>
          <t>1500.00</t>
        </is>
      </c>
    </row>
    <row collapsed="false" customFormat="false" customHeight="false" hidden="false" ht="12.1" outlineLevel="0" r="427">
      <c r="A427" s="5" t="s">
        <f>=HYPERLINK("https://www.leilaoonline.net/lote/detalhe/159830", "30058")</f>
      </c>
      <c r="B427" s="4" t="s">
        <f>=HYPERLINK("https://www.leilaoonline.net/lote/detalhe/159830", " CAMINHÃO VW/26.220 EURO3 WORKER, ANO 2010/2010, BRANCA, FR52490, LOC. SANTA HELENA ")</f>
      </c>
      <c r="C427" s="4" t="inlineStr">
        <is>
          <t>Não vendido</t>
        </is>
      </c>
      <c r="D427" s="4" t="inlineStr">
        <is>
          <t>58</t>
        </is>
      </c>
      <c r="E427" s="5" t="inlineStr">
        <is>
          <t>82.000,00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=HYPERLINK("https://www.leilaoonline.net/lote/detalhe/159860", "30063")</f>
      </c>
      <c r="B428" s="4" t="s">
        <f>=HYPERLINK("https://www.leilaoonline.net/lote/detalhe/159860", "CARRETA ABRIGO OPERAD. RSA, ANO 2012, AZUL , FR139434, LOC. SANTA HELENA ")</f>
      </c>
      <c r="C428" s="4" t="inlineStr">
        <is>
          <t>Vendido</t>
        </is>
      </c>
      <c r="D428" s="4" t="inlineStr">
        <is>
          <t>41</t>
        </is>
      </c>
      <c r="E428" s="5" t="inlineStr">
        <is>
          <t>15.000,00</t>
        </is>
      </c>
      <c r="F428" s="4" t="inlineStr">
        <is>
          <t>500.00</t>
        </is>
      </c>
    </row>
    <row collapsed="false" customFormat="false" customHeight="false" hidden="false" ht="12.1" outlineLevel="0" r="429">
      <c r="A429" s="5" t="s">
        <f>=HYPERLINK("https://www.leilaoonline.net/lote/detalhe/159857", "30065")</f>
      </c>
      <c r="B429" s="4" t="s">
        <f>=HYPERLINK("https://www.leilaoonline.net/lote/detalhe/159857", " ONIBUS M.BENZ OF 1620, ANO 1995/1996, VERDE , FR139216, LOC. SANTA HELENA ")</f>
      </c>
      <c r="C429" s="4" t="inlineStr">
        <is>
          <t>Vendido</t>
        </is>
      </c>
      <c r="D429" s="4" t="inlineStr">
        <is>
          <t>10</t>
        </is>
      </c>
      <c r="E429" s="5" t="inlineStr">
        <is>
          <t>16.500,00</t>
        </is>
      </c>
      <c r="F429" s="4" t="inlineStr">
        <is>
          <t>500.00</t>
        </is>
      </c>
    </row>
    <row collapsed="false" customFormat="false" customHeight="false" hidden="false" ht="12.1" outlineLevel="0" r="430">
      <c r="A430" s="5" t="s">
        <f>=HYPERLINK("https://www.leilaoonline.net/lote/detalhe/159853", "30067")</f>
      </c>
      <c r="B430" s="4" t="s">
        <f>=HYPERLINK("https://www.leilaoonline.net/lote/detalhe/159853", "CARRETA ABRIGO OPERAD.RSA SOUFER CFE 2E, ANO 2012/2012, CINZA, FR139417, LOC. SANTA HELENA ")</f>
      </c>
      <c r="C430" s="4" t="inlineStr">
        <is>
          <t>Vendido</t>
        </is>
      </c>
      <c r="D430" s="4" t="inlineStr">
        <is>
          <t>28</t>
        </is>
      </c>
      <c r="E430" s="5" t="inlineStr">
        <is>
          <t>17.000,00</t>
        </is>
      </c>
      <c r="F430" s="4" t="inlineStr">
        <is>
          <t>500.00</t>
        </is>
      </c>
    </row>
    <row collapsed="false" customFormat="false" customHeight="false" hidden="false" ht="12.1" outlineLevel="0" r="431">
      <c r="A431" s="5" t="s">
        <f>=HYPERLINK("https://www.leilaoonline.net/lote/detalhe/159848", "30069")</f>
      </c>
      <c r="B431" s="4" t="s">
        <f>=HYPERLINK("https://www.leilaoonline.net/lote/detalhe/159848", " CARRETA ABRIGO Operad.RSA, ANO 2012,  FR139432, LOC. SANTA HELENA ")</f>
      </c>
      <c r="C431" s="4" t="inlineStr">
        <is>
          <t>Vendido</t>
        </is>
      </c>
      <c r="D431" s="4" t="inlineStr">
        <is>
          <t>13</t>
        </is>
      </c>
      <c r="E431" s="5" t="inlineStr">
        <is>
          <t>13.000,00</t>
        </is>
      </c>
      <c r="F431" s="4" t="inlineStr">
        <is>
          <t>500.00</t>
        </is>
      </c>
    </row>
    <row collapsed="false" customFormat="false" customHeight="false" hidden="false" ht="12.1" outlineLevel="0" r="432">
      <c r="A432" s="5" t="s">
        <f>=HYPERLINK("https://www.leilaoonline.net/lote/detalhe/159855", "30070")</f>
      </c>
      <c r="B432" s="4" t="s">
        <f>=HYPERLINK("https://www.leilaoonline.net/lote/detalhe/159855", " PLANTADEIRA SOLLUS FLEX 8080, ANO 2012, FR48213, LOC. SANTA HELENA ")</f>
      </c>
      <c r="C432" s="4" t="inlineStr">
        <is>
          <t>Vendido</t>
        </is>
      </c>
      <c r="D432" s="4" t="inlineStr">
        <is>
          <t>2</t>
        </is>
      </c>
      <c r="E432" s="5" t="inlineStr">
        <is>
          <t>10.500,00</t>
        </is>
      </c>
      <c r="F432" s="4" t="inlineStr">
        <is>
          <t>500.00</t>
        </is>
      </c>
    </row>
    <row collapsed="false" customFormat="false" customHeight="false" hidden="false" ht="12.1" outlineLevel="0" r="433">
      <c r="A433" s="5" t="s">
        <f>=HYPERLINK("https://www.leilaoonline.net/lote/detalhe/159852", "30072")</f>
      </c>
      <c r="B433" s="4" t="s">
        <f>=HYPERLINK("https://www.leilaoonline.net/lote/detalhe/159852", " GARRA DE MOENDA , S/FR, LOC. SANTA HELENA ")</f>
      </c>
      <c r="C433" s="4" t="inlineStr">
        <is>
          <t>Não vendido</t>
        </is>
      </c>
      <c r="D433" s="4" t="inlineStr">
        <is>
          <t>13</t>
        </is>
      </c>
      <c r="E433" s="5" t="inlineStr">
        <is>
          <t>9.000,00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=HYPERLINK("https://www.leilaoonline.net/lote/detalhe/159827", "30073")</f>
      </c>
      <c r="B434" s="4" t="s">
        <f>=HYPERLINK("https://www.leilaoonline.net/lote/detalhe/159827", "CARRETA SOLLUS MODELO SPANDER 12 0CHC, ANO 2012, FR57315, LOC. SANTA HELENA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3.500,00</t>
        </is>
      </c>
      <c r="F434" s="4" t="inlineStr">
        <is>
          <t>500.00</t>
        </is>
      </c>
    </row>
    <row collapsed="false" customFormat="false" customHeight="false" hidden="false" ht="12.1" outlineLevel="0" r="435">
      <c r="A435" s="5" t="s">
        <f>=HYPERLINK("https://www.leilaoonline.net/lote/detalhe/159836", "30075")</f>
      </c>
      <c r="B435" s="4" t="s">
        <f>=HYPERLINK("https://www.leilaoonline.net/lote/detalhe/159836", " CAMINHÃO VW/15180 EURO3 WORKER, ANO 2010/2010, BRANCA, FR220678, LOC, SANTA HELENA ")</f>
      </c>
      <c r="C435" s="4" t="inlineStr">
        <is>
          <t>Não vendido</t>
        </is>
      </c>
      <c r="D435" s="4" t="inlineStr">
        <is>
          <t>90</t>
        </is>
      </c>
      <c r="E435" s="5" t="inlineStr">
        <is>
          <t>114.000,00</t>
        </is>
      </c>
      <c r="F435" s="4" t="inlineStr">
        <is>
          <t>1000.00</t>
        </is>
      </c>
    </row>
    <row collapsed="false" customFormat="false" customHeight="false" hidden="false" ht="12.1" outlineLevel="0" r="436">
      <c r="A436" s="5" t="s">
        <f>=HYPERLINK("https://www.leilaoonline.net/lote/detalhe/159808", "30077")</f>
      </c>
      <c r="B436" s="4" t="s">
        <f>=HYPERLINK("https://www.leilaoonline.net/lote/detalhe/159808", " REDUTOR FJA 7001:7,65, LOC. RAFARD")</f>
      </c>
      <c r="C436" s="4" t="inlineStr">
        <is>
          <t>Vendido</t>
        </is>
      </c>
      <c r="D436" s="4" t="inlineStr">
        <is>
          <t>15</t>
        </is>
      </c>
      <c r="E436" s="5" t="inlineStr">
        <is>
          <t>7.000,00</t>
        </is>
      </c>
      <c r="F436" s="4" t="inlineStr">
        <is>
          <t>500.00</t>
        </is>
      </c>
    </row>
    <row collapsed="false" customFormat="false" customHeight="false" hidden="false" ht="12.1" outlineLevel="0" r="437">
      <c r="A437" s="5" t="s">
        <f>=HYPERLINK("https://www.leilaoonline.net/lote/detalhe/159776", "30078")</f>
      </c>
      <c r="B437" s="4" t="s">
        <f>=HYPERLINK("https://www.leilaoonline.net/lote/detalhe/159776", " BOMBA CENTRIFUGA EQUIP. 300M 3/H, FR139774,  LOC. RAFARD")</f>
      </c>
      <c r="C437" s="4" t="inlineStr">
        <is>
          <t>Vendido</t>
        </is>
      </c>
      <c r="D437" s="4" t="inlineStr">
        <is>
          <t>14</t>
        </is>
      </c>
      <c r="E437" s="5" t="inlineStr">
        <is>
          <t>9.000,00</t>
        </is>
      </c>
      <c r="F437" s="4" t="inlineStr">
        <is>
          <t>500.00</t>
        </is>
      </c>
    </row>
    <row collapsed="false" customFormat="false" customHeight="false" hidden="false" ht="12.1" outlineLevel="0" r="438">
      <c r="A438" s="5" t="s">
        <f>=HYPERLINK("https://www.leilaoonline.net/lote/detalhe/159802", "30079")</f>
      </c>
      <c r="B438" s="4" t="s">
        <f>=HYPERLINK("https://www.leilaoonline.net/lote/detalhe/159802", " BOMBA CENTRIFUGA EQUIP. 300M 3/H, FR139773, LOC. RAFARD")</f>
      </c>
      <c r="C438" s="4" t="inlineStr">
        <is>
          <t>Vendido</t>
        </is>
      </c>
      <c r="D438" s="4" t="inlineStr">
        <is>
          <t>12</t>
        </is>
      </c>
      <c r="E438" s="5" t="inlineStr">
        <is>
          <t>9.000,00</t>
        </is>
      </c>
      <c r="F438" s="4" t="inlineStr">
        <is>
          <t>500.00</t>
        </is>
      </c>
    </row>
    <row collapsed="false" customFormat="false" customHeight="false" hidden="false" ht="12.1" outlineLevel="0" r="439">
      <c r="A439" s="5" t="s">
        <f>=HYPERLINK("https://www.leilaoonline.net/lote/detalhe/159784", "30080")</f>
      </c>
      <c r="B439" s="4" t="s">
        <f>=HYPERLINK("https://www.leilaoonline.net/lote/detalhe/159784", " BOMBA CENTRIFUGA EQUIP. 300M 3/H, FR139772, LOC. RAFARD")</f>
      </c>
      <c r="C439" s="4" t="inlineStr">
        <is>
          <t>Vendido</t>
        </is>
      </c>
      <c r="D439" s="4" t="inlineStr">
        <is>
          <t>12</t>
        </is>
      </c>
      <c r="E439" s="5" t="inlineStr">
        <is>
          <t>9.000,00</t>
        </is>
      </c>
      <c r="F439" s="4" t="inlineStr">
        <is>
          <t>500.00</t>
        </is>
      </c>
    </row>
    <row collapsed="false" customFormat="false" customHeight="false" hidden="false" ht="12.1" outlineLevel="0" r="440">
      <c r="A440" s="5" t="s">
        <f>=HYPERLINK("https://www.leilaoonline.net/lote/detalhe/159791", "30081")</f>
      </c>
      <c r="B440" s="4" t="s">
        <f>=HYPERLINK("https://www.leilaoonline.net/lote/detalhe/159791", "SIST. DESUNID DE AR MUNTERS HCD9000EAPLUS, MUNTERS,PAT.153239/246064, LOC. RAFARD")</f>
      </c>
      <c r="C440" s="4" t="inlineStr">
        <is>
          <t>Vendido</t>
        </is>
      </c>
      <c r="D440" s="4" t="inlineStr">
        <is>
          <t>13</t>
        </is>
      </c>
      <c r="E440" s="5" t="inlineStr">
        <is>
          <t>11.500,00</t>
        </is>
      </c>
      <c r="F440" s="4" t="inlineStr">
        <is>
          <t>500.00</t>
        </is>
      </c>
    </row>
    <row collapsed="false" customFormat="false" customHeight="false" hidden="false" ht="12.1" outlineLevel="0" r="441">
      <c r="A441" s="5" t="s">
        <f>=HYPERLINK("https://www.leilaoonline.net/lote/detalhe/159795", "30082")</f>
      </c>
      <c r="B441" s="4" t="s">
        <f>=HYPERLINK("https://www.leilaoonline.net/lote/detalhe/159795", " SOPRADOR PALHA  AIR CLIMA   250MMCA, FR71034, LOC. RAFARD")</f>
      </c>
      <c r="C441" s="4" t="inlineStr">
        <is>
          <t>Vendido</t>
        </is>
      </c>
      <c r="D441" s="4" t="inlineStr">
        <is>
          <t>3</t>
        </is>
      </c>
      <c r="E441" s="5" t="inlineStr">
        <is>
          <t>4.000,00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=HYPERLINK("https://www.leilaoonline.net/lote/detalhe/159809", "30083")</f>
      </c>
      <c r="B442" s="4" t="s">
        <f>=HYPERLINK("https://www.leilaoonline.net/lote/detalhe/159809", " LOTE COM 18 SUCATAS DE MOTORES DIVERSOS TAMANHOS E MEDIDAS, LOC. RAFARD")</f>
      </c>
      <c r="C442" s="4" t="inlineStr">
        <is>
          <t>Vendido</t>
        </is>
      </c>
      <c r="D442" s="4" t="inlineStr">
        <is>
          <t>29</t>
        </is>
      </c>
      <c r="E442" s="5" t="inlineStr">
        <is>
          <t>19.000,00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=HYPERLINK("https://www.leilaoonline.net/lote/detalhe/159804", "30084")</f>
      </c>
      <c r="B443" s="4" t="s">
        <f>=HYPERLINK("https://www.leilaoonline.net/lote/detalhe/159804", "LOTE COM APROXIMADAMENTE 35 PEÇAS DIVERSAS DE  VALVULAS, ATUADORES E ROLAMENTOS  DIVERSAS MEDIDA E MODELOS - RAFARD")</f>
      </c>
      <c r="C443" s="4" t="inlineStr">
        <is>
          <t>Vendido</t>
        </is>
      </c>
      <c r="D443" s="4" t="inlineStr">
        <is>
          <t>56</t>
        </is>
      </c>
      <c r="E443" s="5" t="inlineStr">
        <is>
          <t>39.000,00</t>
        </is>
      </c>
      <c r="F443" s="4" t="inlineStr">
        <is>
          <t>1000.00</t>
        </is>
      </c>
    </row>
    <row collapsed="false" customFormat="false" customHeight="false" hidden="false" ht="12.1" outlineLevel="0" r="444">
      <c r="A444" s="5" t="s">
        <f>=HYPERLINK("https://www.leilaoonline.net/lote/detalhe/159789", "30086")</f>
      </c>
      <c r="B444" s="4" t="s">
        <f>=HYPERLINK("https://www.leilaoonline.net/lote/detalhe/159789", "PREPARADOR DE SOLO PENTA LIPOW, FR103497, LOC. RAFARD")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3.500,00</t>
        </is>
      </c>
      <c r="F444" s="4" t="inlineStr">
        <is>
          <t>500.00</t>
        </is>
      </c>
    </row>
    <row collapsed="false" customFormat="false" customHeight="false" hidden="false" ht="12.1" outlineLevel="0" r="445">
      <c r="A445" s="5" t="s">
        <f>=HYPERLINK("https://www.leilaoonline.net/lote/detalhe/159814", "30087")</f>
      </c>
      <c r="B445" s="4" t="s">
        <f>=HYPERLINK("https://www.leilaoonline.net/lote/detalhe/159814", " ELIMINADOR DE SOQUEIRA, FR140065, LOC. RAFARD")</f>
      </c>
      <c r="C445" s="4" t="inlineStr">
        <is>
          <t>Não vendido</t>
        </is>
      </c>
      <c r="D445" s="4" t="inlineStr">
        <is>
          <t>1</t>
        </is>
      </c>
      <c r="E445" s="5" t="inlineStr">
        <is>
          <t>5.000,00</t>
        </is>
      </c>
      <c r="F445" s="4" t="inlineStr">
        <is>
          <t>500.00</t>
        </is>
      </c>
    </row>
    <row collapsed="false" customFormat="false" customHeight="false" hidden="false" ht="12.1" outlineLevel="0" r="446">
      <c r="A446" s="5" t="s">
        <f>=HYPERLINK("https://www.leilaoonline.net/lote/detalhe/159777", "30088")</f>
      </c>
      <c r="B446" s="4" t="s">
        <f>=HYPERLINK("https://www.leilaoonline.net/lote/detalhe/159777", " REBOQUE SOUFER CA 2E, ANO 2012/2012, CINZA, FR113225, LOC. BOM RETIRO ")</f>
      </c>
      <c r="C446" s="4" t="inlineStr">
        <is>
          <t>Vendido</t>
        </is>
      </c>
      <c r="D446" s="4" t="inlineStr">
        <is>
          <t>14</t>
        </is>
      </c>
      <c r="E446" s="5" t="inlineStr">
        <is>
          <t>28.000,00</t>
        </is>
      </c>
      <c r="F446" s="4" t="inlineStr">
        <is>
          <t>1000.00</t>
        </is>
      </c>
    </row>
    <row collapsed="false" customFormat="false" customHeight="false" hidden="false" ht="12.1" outlineLevel="0" r="447">
      <c r="A447" s="5" t="s">
        <f>=HYPERLINK("https://www.leilaoonline.net/lote/detalhe/159805", "30089")</f>
      </c>
      <c r="B447" s="4" t="s">
        <f>=HYPERLINK("https://www.leilaoonline.net/lote/detalhe/159805", " CAMINHÃO VW/26.220 EURO3 WORKER, ANO 2010/2010, BRANCA, CAÇAMBA METALICA BASCULANTE, FRS52496/37870, LOC BOM RETIRO ")</f>
      </c>
      <c r="C447" s="4" t="inlineStr">
        <is>
          <t>Não vendido</t>
        </is>
      </c>
      <c r="D447" s="4" t="inlineStr">
        <is>
          <t>104</t>
        </is>
      </c>
      <c r="E447" s="5" t="inlineStr">
        <is>
          <t>156.000,00</t>
        </is>
      </c>
      <c r="F447" s="4" t="inlineStr">
        <is>
          <t>1000.00</t>
        </is>
      </c>
    </row>
    <row collapsed="false" customFormat="false" customHeight="false" hidden="false" ht="12.1" outlineLevel="0" r="448">
      <c r="A448" s="5" t="s">
        <f>=HYPERLINK("https://www.leilaoonline.net/lote/detalhe/159820", "30090")</f>
      </c>
      <c r="B448" s="4" t="s">
        <f>=HYPERLINK("https://www.leilaoonline.net/lote/detalhe/159820", " COLHEDORA J.DEERE 3522 2L, ANO 2012,  FR23630, LOC. BOM RETIRO ")</f>
      </c>
      <c r="C448" s="4" t="inlineStr">
        <is>
          <t>Não vendido</t>
        </is>
      </c>
      <c r="D448" s="4" t="inlineStr">
        <is>
          <t>1</t>
        </is>
      </c>
      <c r="E448" s="5" t="inlineStr">
        <is>
          <t>25.000,00</t>
        </is>
      </c>
      <c r="F448" s="4" t="inlineStr">
        <is>
          <t>1000.00</t>
        </is>
      </c>
    </row>
    <row collapsed="false" customFormat="false" customHeight="false" hidden="false" ht="12.1" outlineLevel="0" r="449">
      <c r="A449" s="5" t="s">
        <f>=HYPERLINK("https://www.leilaoonline.net/lote/detalhe/159800", "30091")</f>
      </c>
      <c r="B449" s="4" t="s">
        <f>=HYPERLINK("https://www.leilaoonline.net/lote/detalhe/159800", " REBOQUE /ANTONINI, ANO 1992/1992, AZUL, FR66044, LOC. BOM RETIRO ")</f>
      </c>
      <c r="C449" s="4" t="inlineStr">
        <is>
          <t>Não vendido</t>
        </is>
      </c>
      <c r="D449" s="4" t="inlineStr">
        <is>
          <t>20</t>
        </is>
      </c>
      <c r="E449" s="5" t="inlineStr">
        <is>
          <t>17.000,00</t>
        </is>
      </c>
      <c r="F449" s="4" t="inlineStr">
        <is>
          <t>500.00</t>
        </is>
      </c>
    </row>
    <row collapsed="false" customFormat="false" customHeight="false" hidden="false" ht="12.1" outlineLevel="0" r="450">
      <c r="A450" s="5" t="s">
        <f>=HYPERLINK("https://www.leilaoonline.net/lote/detalhe/159788", "30092")</f>
      </c>
      <c r="B450" s="4" t="s">
        <f>=HYPERLINK("https://www.leilaoonline.net/lote/detalhe/159788", " 02 CULTIVADORES, FR67028/39913, LOC. BOM RETIRO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5.250,00</t>
        </is>
      </c>
      <c r="F450" s="4" t="inlineStr">
        <is>
          <t>250.00</t>
        </is>
      </c>
    </row>
    <row collapsed="false" customFormat="false" customHeight="false" hidden="false" ht="12.1" outlineLevel="0" r="451">
      <c r="A451" s="5" t="s">
        <f>=HYPERLINK("https://www.leilaoonline.net/lote/detalhe/159797", "30093")</f>
      </c>
      <c r="B451" s="4" t="s">
        <f>=HYPERLINK("https://www.leilaoonline.net/lote/detalhe/159797", "CULTIVADOR QUEBRA LOMBO (DMB), FR140022, LOC. BOM RETIRO 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2.500,00</t>
        </is>
      </c>
      <c r="F451" s="4" t="inlineStr">
        <is>
          <t>250.00</t>
        </is>
      </c>
    </row>
    <row collapsed="false" customFormat="false" customHeight="false" hidden="false" ht="12.1" outlineLevel="0" r="452">
      <c r="A452" s="5" t="s">
        <f>=HYPERLINK("https://www.leilaoonline.net/lote/detalhe/159792", "30094")</f>
      </c>
      <c r="B452" s="4" t="s">
        <f>=HYPERLINK("https://www.leilaoonline.net/lote/detalhe/159792", "CULTIVADOR 2 LINHAS, FR67158, LOC. BOM RETIRO ")</f>
      </c>
      <c r="C452" s="4" t="inlineStr">
        <is>
          <t>Vendido</t>
        </is>
      </c>
      <c r="D452" s="4" t="inlineStr">
        <is>
          <t>1</t>
        </is>
      </c>
      <c r="E452" s="5" t="inlineStr">
        <is>
          <t>1.000,00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=HYPERLINK("https://www.leilaoonline.net/lote/detalhe/159801", "30095")</f>
      </c>
      <c r="B453" s="4" t="s">
        <f>=HYPERLINK("https://www.leilaoonline.net/lote/detalhe/159801", " MOTO BOMBA, FR139404, LOC. BOM RETIRO ")</f>
      </c>
      <c r="C453" s="4" t="inlineStr">
        <is>
          <t>Vendido</t>
        </is>
      </c>
      <c r="D453" s="4" t="inlineStr">
        <is>
          <t>12</t>
        </is>
      </c>
      <c r="E453" s="5" t="inlineStr">
        <is>
          <t>10.500,00</t>
        </is>
      </c>
      <c r="F453" s="4" t="inlineStr">
        <is>
          <t>500.00</t>
        </is>
      </c>
    </row>
    <row collapsed="false" customFormat="false" customHeight="false" hidden="false" ht="12.1" outlineLevel="0" r="454">
      <c r="A454" s="5" t="s">
        <f>=HYPERLINK("https://www.leilaoonline.net/lote/detalhe/159803", "30096")</f>
      </c>
      <c r="B454" s="4" t="s">
        <f>=HYPERLINK("https://www.leilaoonline.net/lote/detalhe/159803", " CARRETA TRANSPORTADORA TUBOS, FR67149, LOC. BOM RETIRO ")</f>
      </c>
      <c r="C454" s="4" t="inlineStr">
        <is>
          <t>Vendido</t>
        </is>
      </c>
      <c r="D454" s="4" t="inlineStr">
        <is>
          <t>15</t>
        </is>
      </c>
      <c r="E454" s="5" t="inlineStr">
        <is>
          <t>3.150,00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=HYPERLINK("https://www.leilaoonline.net/lote/detalhe/159796", "30097")</f>
      </c>
      <c r="B455" s="4" t="s">
        <f>=HYPERLINK("https://www.leilaoonline.net/lote/detalhe/159796", " CULTIVADOR 2 LINHAS, FR139755, LOC. BOM RETIRO ")</f>
      </c>
      <c r="C455" s="4" t="inlineStr">
        <is>
          <t>Não vendido</t>
        </is>
      </c>
      <c r="D455" s="4" t="inlineStr">
        <is>
          <t>1</t>
        </is>
      </c>
      <c r="E455" s="5" t="inlineStr">
        <is>
          <t>2.500,00</t>
        </is>
      </c>
      <c r="F455" s="4" t="inlineStr">
        <is>
          <t>250.00</t>
        </is>
      </c>
    </row>
    <row collapsed="false" customFormat="false" customHeight="false" hidden="false" ht="12.1" outlineLevel="0" r="456">
      <c r="A456" s="5" t="s">
        <f>=HYPERLINK("https://www.leilaoonline.net/lote/detalhe/159823", "30098")</f>
      </c>
      <c r="B456" s="4" t="s">
        <f>=HYPERLINK("https://www.leilaoonline.net/lote/detalhe/159823", " CULTIVADOR 2 LINHAS, FR37464, LOC. BOM RETIRO ")</f>
      </c>
      <c r="C456" s="4" t="inlineStr">
        <is>
          <t>Não vendido</t>
        </is>
      </c>
      <c r="D456" s="4" t="inlineStr">
        <is>
          <t>1</t>
        </is>
      </c>
      <c r="E456" s="5" t="inlineStr">
        <is>
          <t>2.500,00</t>
        </is>
      </c>
      <c r="F456" s="4" t="inlineStr">
        <is>
          <t>250.00</t>
        </is>
      </c>
    </row>
    <row collapsed="false" customFormat="false" customHeight="false" hidden="false" ht="12.1" outlineLevel="0" r="457">
      <c r="A457" s="5" t="s">
        <f>=HYPERLINK("https://www.leilaoonline.net/lote/detalhe/159790", "30099")</f>
      </c>
      <c r="B457" s="4" t="s">
        <f>=HYPERLINK("https://www.leilaoonline.net/lote/detalhe/159790", " CULTIVADOR 2 LINHAS, FR67182, LOC. BOM RETIRO ")</f>
      </c>
      <c r="C457" s="4" t="inlineStr">
        <is>
          <t>Não vendido</t>
        </is>
      </c>
      <c r="D457" s="4" t="inlineStr">
        <is>
          <t>1</t>
        </is>
      </c>
      <c r="E457" s="5" t="inlineStr">
        <is>
          <t>2.500,00</t>
        </is>
      </c>
      <c r="F457" s="4" t="inlineStr">
        <is>
          <t>250.00</t>
        </is>
      </c>
    </row>
    <row collapsed="false" customFormat="false" customHeight="false" hidden="false" ht="12.1" outlineLevel="0" r="458">
      <c r="A458" s="5" t="s">
        <f>=HYPERLINK("https://www.leilaoonline.net/lote/detalhe/159819", "30100")</f>
      </c>
      <c r="B458" s="4" t="s">
        <f>=HYPERLINK("https://www.leilaoonline.net/lote/detalhe/159819", " CULTIVADOR 2 LINHAS, FR38071, LOC. BOM RETIRO ")</f>
      </c>
      <c r="C458" s="4" t="inlineStr">
        <is>
          <t>Não vendido</t>
        </is>
      </c>
      <c r="D458" s="4" t="inlineStr">
        <is>
          <t>1</t>
        </is>
      </c>
      <c r="E458" s="5" t="inlineStr">
        <is>
          <t>2.500,00</t>
        </is>
      </c>
      <c r="F458" s="4" t="inlineStr">
        <is>
          <t>250.00</t>
        </is>
      </c>
    </row>
    <row collapsed="false" customFormat="false" customHeight="false" hidden="false" ht="12.1" outlineLevel="0" r="459">
      <c r="A459" s="5" t="s">
        <f>=HYPERLINK("https://www.leilaoonline.net/lote/detalhe/159828", "30101")</f>
      </c>
      <c r="B459" s="4" t="s">
        <f>=HYPERLINK("https://www.leilaoonline.net/lote/detalhe/159828", " CULTIVADOR 2 LINHAS, FR38070, LOC. BOM RETIRO ")</f>
      </c>
      <c r="C459" s="4" t="inlineStr">
        <is>
          <t>Não vendido</t>
        </is>
      </c>
      <c r="D459" s="4" t="inlineStr">
        <is>
          <t>1</t>
        </is>
      </c>
      <c r="E459" s="5" t="inlineStr">
        <is>
          <t>2.500,00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=HYPERLINK("https://www.leilaoonline.net/lote/detalhe/159811", "30102")</f>
      </c>
      <c r="B460" s="4" t="s">
        <f>=HYPERLINK("https://www.leilaoonline.net/lote/detalhe/159811", " CULTIVADOR 2 LINHAS, FR67071,LOC. BOM RETIRO ")</f>
      </c>
      <c r="C460" s="4" t="inlineStr">
        <is>
          <t>Não vendido</t>
        </is>
      </c>
      <c r="D460" s="4" t="inlineStr">
        <is>
          <t>1</t>
        </is>
      </c>
      <c r="E460" s="5" t="inlineStr">
        <is>
          <t>2.500,00</t>
        </is>
      </c>
      <c r="F460" s="4" t="inlineStr">
        <is>
          <t>250.00</t>
        </is>
      </c>
    </row>
    <row collapsed="false" customFormat="false" customHeight="false" hidden="false" ht="12.1" outlineLevel="0" r="461">
      <c r="A461" s="5" t="s">
        <f>=HYPERLINK("https://www.leilaoonline.net/lote/detalhe/159785", "30103")</f>
      </c>
      <c r="B461" s="4" t="s">
        <f>=HYPERLINK("https://www.leilaoonline.net/lote/detalhe/159785", " DISTRIBUIDOR TORTA 10M3, 4 LINHAS, FR139939, LOC. BOM RETIRO ")</f>
      </c>
      <c r="C461" s="4" t="inlineStr">
        <is>
          <t>Vendido</t>
        </is>
      </c>
      <c r="D461" s="4" t="inlineStr">
        <is>
          <t>2</t>
        </is>
      </c>
      <c r="E461" s="5" t="inlineStr">
        <is>
          <t>4.000,00</t>
        </is>
      </c>
      <c r="F461" s="4" t="inlineStr">
        <is>
          <t>500.00</t>
        </is>
      </c>
    </row>
    <row collapsed="false" customFormat="false" customHeight="false" hidden="false" ht="12.1" outlineLevel="0" r="462">
      <c r="A462" s="5" t="s">
        <f>=HYPERLINK("https://www.leilaoonline.net/lote/detalhe/159842", "30104")</f>
      </c>
      <c r="B462" s="4" t="s">
        <f>=HYPERLINK("https://www.leilaoonline.net/lote/detalhe/159842", " CARRETA DE SERVIÇOS DIVERSOS, COR AMARELO, FR57222, LOC. BOM RETIRO ")</f>
      </c>
      <c r="C462" s="4" t="inlineStr">
        <is>
          <t>Vendido</t>
        </is>
      </c>
      <c r="D462" s="4" t="inlineStr">
        <is>
          <t>3</t>
        </is>
      </c>
      <c r="E462" s="5" t="inlineStr">
        <is>
          <t>800,00</t>
        </is>
      </c>
      <c r="F462" s="4" t="inlineStr">
        <is>
          <t>150.00</t>
        </is>
      </c>
    </row>
    <row collapsed="false" customFormat="false" customHeight="false" hidden="false" ht="12.1" outlineLevel="0" r="463">
      <c r="A463" s="5" t="s">
        <f>=HYPERLINK("https://www.leilaoonline.net/lote/detalhe/159806", "30105")</f>
      </c>
      <c r="B463" s="4" t="s">
        <f>=HYPERLINK("https://www.leilaoonline.net/lote/detalhe/159806", " CARRETINHA SERVIÇOS GERAIS, FR57301, LOC. BOM RETIRO")</f>
      </c>
      <c r="C463" s="4" t="inlineStr">
        <is>
          <t>Não vendido</t>
        </is>
      </c>
      <c r="D463" s="4" t="inlineStr">
        <is>
          <t>4</t>
        </is>
      </c>
      <c r="E463" s="5" t="inlineStr">
        <is>
          <t>950,00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=HYPERLINK("https://www.leilaoonline.net/lote/detalhe/159841", "30106")</f>
      </c>
      <c r="B464" s="4" t="s">
        <f>=HYPERLINK("https://www.leilaoonline.net/lote/detalhe/159841", " S. REBOQUE RANDONSP SRCA CA, ANO 2010/2011, AZUL, FR36288, LOC. BOM RETIRO")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35.000,00</t>
        </is>
      </c>
      <c r="F464" s="4" t="inlineStr">
        <is>
          <t>1000.00</t>
        </is>
      </c>
    </row>
    <row collapsed="false" customFormat="false" customHeight="false" hidden="false" ht="12.1" outlineLevel="0" r="465">
      <c r="A465" s="5" t="s">
        <f>=HYPERLINK("https://www.leilaoonline.net/lote/detalhe/159824", "30107")</f>
      </c>
      <c r="B465" s="4" t="s">
        <f>=HYPERLINK("https://www.leilaoonline.net/lote/detalhe/159824", " MOTOBOMBA COR AMARELA MWM D229/6, COR AMARELA, S/FR, LOC. BOM RETIRO ")</f>
      </c>
      <c r="C465" s="4" t="inlineStr">
        <is>
          <t>Vendido</t>
        </is>
      </c>
      <c r="D465" s="4" t="inlineStr">
        <is>
          <t>28</t>
        </is>
      </c>
      <c r="E465" s="5" t="inlineStr">
        <is>
          <t>10.000,00</t>
        </is>
      </c>
      <c r="F465" s="4" t="inlineStr">
        <is>
          <t>250.00</t>
        </is>
      </c>
    </row>
    <row collapsed="false" customFormat="false" customHeight="false" hidden="false" ht="12.1" outlineLevel="0" r="466">
      <c r="A466" s="5" t="s">
        <f>=HYPERLINK("https://www.leilaoonline.net/lote/detalhe/159818", "30108")</f>
      </c>
      <c r="B466" s="4" t="s">
        <f>=HYPERLINK("https://www.leilaoonline.net/lote/detalhe/159818", " TERRACEADOR , FR165242, LOC. BOM RETIRO ")</f>
      </c>
      <c r="C466" s="4" t="inlineStr">
        <is>
          <t>Vendido</t>
        </is>
      </c>
      <c r="D466" s="4" t="inlineStr">
        <is>
          <t>31</t>
        </is>
      </c>
      <c r="E466" s="5" t="inlineStr">
        <is>
          <t>15.000,00</t>
        </is>
      </c>
      <c r="F466" s="4" t="inlineStr">
        <is>
          <t>250.00</t>
        </is>
      </c>
    </row>
    <row collapsed="false" customFormat="false" customHeight="false" hidden="false" ht="12.1" outlineLevel="0" r="467">
      <c r="A467" s="5" t="s">
        <f>=HYPERLINK("https://www.leilaoonline.net/lote/detalhe/159813", "30109")</f>
      </c>
      <c r="B467" s="4" t="s">
        <f>=HYPERLINK("https://www.leilaoonline.net/lote/detalhe/159813", " REBOQUE RANDONSP RQ CA, ANO 2013/2014, CINZA, FR22599, LOC. BOM RETIRO ")</f>
      </c>
      <c r="C467" s="4" t="inlineStr">
        <is>
          <t>Vendido</t>
        </is>
      </c>
      <c r="D467" s="4" t="inlineStr">
        <is>
          <t>2</t>
        </is>
      </c>
      <c r="E467" s="5" t="inlineStr">
        <is>
          <t>55.000,00</t>
        </is>
      </c>
      <c r="F467" s="4" t="inlineStr">
        <is>
          <t>1000.00</t>
        </is>
      </c>
    </row>
    <row collapsed="false" customFormat="false" customHeight="false" hidden="false" ht="12.1" outlineLevel="0" r="468">
      <c r="A468" s="5" t="s">
        <f>=HYPERLINK("https://www.leilaoonline.net/lote/detalhe/159798", "30110")</f>
      </c>
      <c r="B468" s="4" t="s">
        <f>=HYPERLINK("https://www.leilaoonline.net/lote/detalhe/159798", " REBOQUE RANDONSP RQ CA, ANO 2012/2013, CINZA, FR66200, LOC. BOM RETIRO ")</f>
      </c>
      <c r="C468" s="4" t="inlineStr">
        <is>
          <t>Não vendido</t>
        </is>
      </c>
      <c r="D468" s="4" t="inlineStr">
        <is>
          <t>2</t>
        </is>
      </c>
      <c r="E468" s="5" t="inlineStr">
        <is>
          <t>36.000,00</t>
        </is>
      </c>
      <c r="F468" s="4" t="inlineStr">
        <is>
          <t>1000.00</t>
        </is>
      </c>
    </row>
    <row collapsed="false" customFormat="false" customHeight="false" hidden="false" ht="12.1" outlineLevel="0" r="469">
      <c r="A469" s="5" t="s">
        <f>=HYPERLINK("https://www.leilaoonline.net/lote/detalhe/159846", "30111")</f>
      </c>
      <c r="B469" s="4" t="s">
        <f>=HYPERLINK("https://www.leilaoonline.net/lote/detalhe/159846", " REBOQUE RANDONSP RQ CA, ANO 2014/2014, CINZA, FR56381, LOC. BOM RETIRO ")</f>
      </c>
      <c r="C469" s="4" t="inlineStr">
        <is>
          <t>Não vendido</t>
        </is>
      </c>
      <c r="D469" s="4" t="inlineStr">
        <is>
          <t>2</t>
        </is>
      </c>
      <c r="E469" s="5" t="inlineStr">
        <is>
          <t>36.000,00</t>
        </is>
      </c>
      <c r="F469" s="4" t="inlineStr">
        <is>
          <t>1000.00</t>
        </is>
      </c>
    </row>
    <row collapsed="false" customFormat="false" customHeight="false" hidden="false" ht="12.1" outlineLevel="0" r="470">
      <c r="A470" s="5" t="s">
        <f>=HYPERLINK("https://www.leilaoonline.net/lote/detalhe/161614", "30112")</f>
      </c>
      <c r="B470" s="4" t="s">
        <f>=HYPERLINK("https://www.leilaoonline.net/lote/detalhe/161614", "IMPLEMENTO CAÇAMBA POLI, S/FR, LOC, RAFARD")</f>
      </c>
      <c r="C470" s="4" t="inlineStr">
        <is>
          <t>Vendido</t>
        </is>
      </c>
      <c r="D470" s="4" t="inlineStr">
        <is>
          <t>12</t>
        </is>
      </c>
      <c r="E470" s="5" t="inlineStr">
        <is>
          <t>7.750,00</t>
        </is>
      </c>
      <c r="F470" s="4" t="inlineStr">
        <is>
          <t>250.00</t>
        </is>
      </c>
    </row>
    <row collapsed="false" customFormat="false" customHeight="false" hidden="false" ht="12.1" outlineLevel="0" r="471">
      <c r="A471" s="5" t="s">
        <f>=HYPERLINK("https://www.leilaoonline.net/lote/detalhe/161612", "30113")</f>
      </c>
      <c r="B471" s="4" t="s">
        <f>=HYPERLINK("https://www.leilaoonline.net/lote/detalhe/161612", "TANQUE METALICO ROXO, FR248266, LOC. RAFARD")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3.000,00</t>
        </is>
      </c>
      <c r="F471" s="4" t="inlineStr">
        <is>
          <t>250.00</t>
        </is>
      </c>
    </row>
    <row collapsed="false" customFormat="false" customHeight="false" hidden="false" ht="12.1" outlineLevel="0" r="472">
      <c r="A472" s="5" t="s">
        <f>=HYPERLINK("https://www.leilaoonline.net/lote/detalhe/161610", "30114")</f>
      </c>
      <c r="B472" s="4" t="s">
        <f>=HYPERLINK("https://www.leilaoonline.net/lote/detalhe/161610", "TANQUE METALICO HORIZONTAL , FR248449, LOC. RAFARD")</f>
      </c>
      <c r="C472" s="4" t="inlineStr">
        <is>
          <t>Não vendido</t>
        </is>
      </c>
      <c r="D472" s="4" t="inlineStr">
        <is>
          <t>15</t>
        </is>
      </c>
      <c r="E472" s="5" t="inlineStr">
        <is>
          <t>6.500,00</t>
        </is>
      </c>
      <c r="F472" s="4" t="inlineStr">
        <is>
          <t>250.00</t>
        </is>
      </c>
    </row>
    <row collapsed="false" customFormat="false" customHeight="false" hidden="false" ht="12.1" outlineLevel="0" r="473">
      <c r="A473" s="5" t="s">
        <f>=HYPERLINK("https://www.leilaoonline.net/lote/detalhe/161613", "30115")</f>
      </c>
      <c r="B473" s="4" t="s">
        <f>=HYPERLINK("https://www.leilaoonline.net/lote/detalhe/161613", "COLUNA RECUPERAÇAO GAZES, S/FR, LOC. RAFARD")</f>
      </c>
      <c r="C473" s="4" t="inlineStr">
        <is>
          <t>Vendido</t>
        </is>
      </c>
      <c r="D473" s="4" t="inlineStr">
        <is>
          <t>13</t>
        </is>
      </c>
      <c r="E473" s="5" t="inlineStr">
        <is>
          <t>7.500,00</t>
        </is>
      </c>
      <c r="F473" s="4" t="inlineStr">
        <is>
          <t>500.00</t>
        </is>
      </c>
    </row>
    <row collapsed="false" customFormat="false" customHeight="false" hidden="false" ht="12.1" outlineLevel="0" r="474">
      <c r="A474" s="5" t="s">
        <f>=HYPERLINK("https://www.leilaoonline.net/lote/detalhe/161611", "30118")</f>
      </c>
      <c r="B474" s="4" t="s">
        <f>=HYPERLINK("https://www.leilaoonline.net/lote/detalhe/161611", "TANQUE METALICO HORIZONTAL, S/FR, LOC RAFARD")</f>
      </c>
      <c r="C474" s="4" t="inlineStr">
        <is>
          <t>Vendido</t>
        </is>
      </c>
      <c r="D474" s="4" t="inlineStr">
        <is>
          <t>16</t>
        </is>
      </c>
      <c r="E474" s="5" t="inlineStr">
        <is>
          <t>6.750,00</t>
        </is>
      </c>
      <c r="F474" s="4" t="inlineStr">
        <is>
          <t>250.00</t>
        </is>
      </c>
    </row>
    <row collapsed="false" customFormat="false" customHeight="false" hidden="false" ht="12.1" outlineLevel="0" r="475">
      <c r="A475" s="5" t="s">
        <f>=HYPERLINK("https://www.leilaoonline.net/lote/detalhe/161615", "30119")</f>
      </c>
      <c r="B475" s="4" t="s">
        <f>=HYPERLINK("https://www.leilaoonline.net/lote/detalhe/161615", "HILO , S/FR , LOC. SÃO FRANCISCO")</f>
      </c>
      <c r="C475" s="4" t="inlineStr">
        <is>
          <t>Vendido</t>
        </is>
      </c>
      <c r="D475" s="4" t="inlineStr">
        <is>
          <t>10</t>
        </is>
      </c>
      <c r="E475" s="5" t="inlineStr">
        <is>
          <t>12.000,00</t>
        </is>
      </c>
      <c r="F4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2026-06-30T03:33:38.00Z</dcterms:created>
  <dc:creator>Tellks Tecnologia</dc:creator>
  <cp:revision>0</cp:revision>
</cp:coreProperties>
</file>