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+400 LOTES: MATERIAIS ELÉTRICOS, DISJUNTORES, INVERSORES, TRANSFORMADORES, PAINÉIS, ETC</t>
        </is>
      </c>
      <c r="C6" s="4"/>
      <c r="D6" s="4"/>
      <c r="E6" s="4"/>
      <c r="F6" s="4"/>
    </row>
    <row collapsed="false" customFormat="false" customHeight="false" hidden="false" ht="12.1" outlineLevel="0" r="7">
      <c r="A7" s="3" t="inlineStr">
        <is>
          <t>Data</t>
        </is>
      </c>
      <c r="B7" s="4" t="inlineStr">
        <is>
          <t>18/04/2023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=HYPERLINK("https://www.leilaoonline.net/lote/detalhe/170658", "000")</f>
      </c>
      <c r="B11" s="4" t="s">
        <f>=HYPERLINK("https://www.leilaoonline.net/lote/detalhe/170658", "[ VÍDEOS ] MATERIAL NOBRE - DISJUNTORES DA MARCA SCHNEIDER APROX. 220 PEÇAS (Acesse a planilha) - Materiais de primeira geração. Disjuntores, Disjuntores Caixa Aberta, Disjuntores Caixa Moldada, Disjuntores Tetrapolar, Inversor Monobloco – Exemplo: Modelos Nw16 H2 - NW32 HA - NW20 H2 - NW400 - NW650")</f>
      </c>
      <c r="C11" s="4" t="inlineStr">
        <is>
          <t>Não vendido</t>
        </is>
      </c>
      <c r="D11" s="4" t="inlineStr">
        <is>
          <t>0</t>
        </is>
      </c>
      <c r="E11" s="5" t="inlineStr">
        <is>
          <t>750.000,00</t>
        </is>
      </c>
      <c r="F11" s="4" t="inlineStr">
        <is>
          <t>5000.00</t>
        </is>
      </c>
    </row>
    <row collapsed="false" customFormat="false" customHeight="false" hidden="false" ht="12.1" outlineLevel="0" r="12">
      <c r="A12" s="5" t="s">
        <f>=HYPERLINK("https://www.leilaoonline.net/lote/detalhe/171050", "001")</f>
      </c>
      <c r="B12" s="4" t="s">
        <f>=HYPERLINK("https://www.leilaoonline.net/lote/detalhe/171050", " Mini disjuntores, disjuntores Dif e Dr, etc, diversas marcas e amperagens - 72 peças")</f>
      </c>
      <c r="C12" s="4" t="inlineStr">
        <is>
          <t>Não vendido</t>
        </is>
      </c>
      <c r="D12" s="4" t="inlineStr">
        <is>
          <t>0</t>
        </is>
      </c>
      <c r="E12" s="5" t="inlineStr">
        <is>
          <t>900,00</t>
        </is>
      </c>
      <c r="F12" s="4" t="inlineStr">
        <is>
          <t>150.00</t>
        </is>
      </c>
    </row>
    <row collapsed="false" customFormat="false" customHeight="false" hidden="false" ht="12.1" outlineLevel="0" r="13">
      <c r="A13" s="5" t="s">
        <f>=HYPERLINK("https://www.leilaoonline.net/lote/detalhe/171053", "002")</f>
      </c>
      <c r="B13" s="4" t="s">
        <f>=HYPERLINK("https://www.leilaoonline.net/lote/detalhe/171053", " Mini disjuntores tripolar, bipolar, unipolar de diversas marcas e modelos e amperagens - 108 peças")</f>
      </c>
      <c r="C13" s="4" t="inlineStr">
        <is>
          <t>Não vendido</t>
        </is>
      </c>
      <c r="D13" s="4" t="inlineStr">
        <is>
          <t>0</t>
        </is>
      </c>
      <c r="E13" s="5" t="inlineStr">
        <is>
          <t>1.100,00</t>
        </is>
      </c>
      <c r="F13" s="4" t="inlineStr">
        <is>
          <t>150.00</t>
        </is>
      </c>
    </row>
    <row collapsed="false" customFormat="false" customHeight="false" hidden="false" ht="12.1" outlineLevel="0" r="14">
      <c r="A14" s="5" t="s">
        <f>=HYPERLINK("https://www.leilaoonline.net/lote/detalhe/171056", "003")</f>
      </c>
      <c r="B14" s="4" t="s">
        <f>=HYPERLINK("https://www.leilaoonline.net/lote/detalhe/171056", " Mini disjuntores tripolar, bipolar, unipolar de diversas marcas e modelos e amperagens - 155 peças")</f>
      </c>
      <c r="C14" s="4" t="inlineStr">
        <is>
          <t>Não vendido</t>
        </is>
      </c>
      <c r="D14" s="4" t="inlineStr">
        <is>
          <t>0</t>
        </is>
      </c>
      <c r="E14" s="5" t="inlineStr">
        <is>
          <t>1.550,00</t>
        </is>
      </c>
      <c r="F14" s="4" t="inlineStr">
        <is>
          <t>150.00</t>
        </is>
      </c>
    </row>
    <row collapsed="false" customFormat="false" customHeight="false" hidden="false" ht="12.1" outlineLevel="0" r="15">
      <c r="A15" s="5" t="s">
        <f>=HYPERLINK("https://www.leilaoonline.net/lote/detalhe/171051", "004")</f>
      </c>
      <c r="B15" s="4" t="s">
        <f>=HYPERLINK("https://www.leilaoonline.net/lote/detalhe/171051", " Módulo de proteção unidade de controle para partidas inteligentes tesys - modelo Luca 32FU - 110~240 V - Class 10 - 3N - 32A - KA 50 - 5 peças")</f>
      </c>
      <c r="C15" s="4" t="inlineStr">
        <is>
          <t>Não vendido</t>
        </is>
      </c>
      <c r="D15" s="4" t="inlineStr">
        <is>
          <t>0</t>
        </is>
      </c>
      <c r="E15" s="5" t="inlineStr">
        <is>
          <t>2.000,00</t>
        </is>
      </c>
      <c r="F15" s="4" t="inlineStr">
        <is>
          <t>150.00</t>
        </is>
      </c>
    </row>
    <row collapsed="false" customFormat="false" customHeight="false" hidden="false" ht="12.1" outlineLevel="0" r="16">
      <c r="A16" s="5" t="s">
        <f>=HYPERLINK("https://www.leilaoonline.net/lote/detalhe/171055", "005")</f>
      </c>
      <c r="B16" s="4" t="s">
        <f>=HYPERLINK("https://www.leilaoonline.net/lote/detalhe/171055", " Módulo de proteção unidade de controle para partidas inteligentes tesys - modelo Luca 32FU - 110~240 V - Class 10 - 3N - 32A - KA 50 - 5 peças")</f>
      </c>
      <c r="C16" s="4" t="inlineStr">
        <is>
          <t>Não vendido</t>
        </is>
      </c>
      <c r="D16" s="4" t="inlineStr">
        <is>
          <t>0</t>
        </is>
      </c>
      <c r="E16" s="5" t="inlineStr">
        <is>
          <t>2.000,00</t>
        </is>
      </c>
      <c r="F16" s="4" t="inlineStr">
        <is>
          <t>150.00</t>
        </is>
      </c>
    </row>
    <row collapsed="false" customFormat="false" customHeight="false" hidden="false" ht="12.1" outlineLevel="0" r="17">
      <c r="A17" s="5" t="s">
        <f>=HYPERLINK("https://www.leilaoonline.net/lote/detalhe/171054", "006")</f>
      </c>
      <c r="B17" s="4" t="s">
        <f>=HYPERLINK("https://www.leilaoonline.net/lote/detalhe/171054", " Módulo de proteção unidade de controle para partidas inteligentes tesys - modelo Luca 32FU - 110~240 V - Class 10 - 3N - 32A - KA 50 - 5 peças")</f>
      </c>
      <c r="C17" s="4" t="inlineStr">
        <is>
          <t>Não vendido</t>
        </is>
      </c>
      <c r="D17" s="4" t="inlineStr">
        <is>
          <t>0</t>
        </is>
      </c>
      <c r="E17" s="5" t="inlineStr">
        <is>
          <t>2.000,00</t>
        </is>
      </c>
      <c r="F17" s="4" t="inlineStr">
        <is>
          <t>150.00</t>
        </is>
      </c>
    </row>
    <row collapsed="false" customFormat="false" customHeight="false" hidden="false" ht="12.1" outlineLevel="0" r="18">
      <c r="A18" s="5" t="s">
        <f>=HYPERLINK("https://www.leilaoonline.net/lote/detalhe/171052", "007")</f>
      </c>
      <c r="B18" s="4" t="s">
        <f>=HYPERLINK("https://www.leilaoonline.net/lote/detalhe/171052", " Módulo de proteção unidade de controle para partidas inteligentes tesys - modelo Luca 32FU - 110~240 V - Class 10 - 3N - 32A - KA 50 - 5 peças")</f>
      </c>
      <c r="C18" s="4" t="inlineStr">
        <is>
          <t>Não vendido</t>
        </is>
      </c>
      <c r="D18" s="4" t="inlineStr">
        <is>
          <t>0</t>
        </is>
      </c>
      <c r="E18" s="5" t="inlineStr">
        <is>
          <t>2.000,00</t>
        </is>
      </c>
      <c r="F18" s="4" t="inlineStr">
        <is>
          <t>150.00</t>
        </is>
      </c>
    </row>
    <row collapsed="false" customFormat="false" customHeight="false" hidden="false" ht="12.1" outlineLevel="0" r="19">
      <c r="A19" s="5" t="s">
        <f>=HYPERLINK("https://www.leilaoonline.net/lote/detalhe/171057", "008")</f>
      </c>
      <c r="B19" s="4" t="s">
        <f>=HYPERLINK("https://www.leilaoonline.net/lote/detalhe/171057", " Módulo de proteção unidade de controle para partidas inteligentes tesys - modelo Luca 32FU - 110~240 V - Class 10 - 3N - 32A - KA 50 - 5 peças")</f>
      </c>
      <c r="C19" s="4" t="inlineStr">
        <is>
          <t>Não vendido</t>
        </is>
      </c>
      <c r="D19" s="4" t="inlineStr">
        <is>
          <t>0</t>
        </is>
      </c>
      <c r="E19" s="5" t="inlineStr">
        <is>
          <t>2.000,00</t>
        </is>
      </c>
      <c r="F19" s="4" t="inlineStr">
        <is>
          <t>150.00</t>
        </is>
      </c>
    </row>
    <row collapsed="false" customFormat="false" customHeight="false" hidden="false" ht="12.1" outlineLevel="0" r="20">
      <c r="A20" s="5" t="s">
        <f>=HYPERLINK("https://www.leilaoonline.net/lote/detalhe/171061", "009")</f>
      </c>
      <c r="B20" s="4" t="s">
        <f>=HYPERLINK("https://www.leilaoonline.net/lote/detalhe/171061", " Módulo de proteção unidade de controle para partidas inteligentes tesys - modelo Luca 32FU - 110~240 V - Class 10 - 3N - 32A - KA 50 - 5 peças")</f>
      </c>
      <c r="C20" s="4" t="inlineStr">
        <is>
          <t>Não vendido</t>
        </is>
      </c>
      <c r="D20" s="4" t="inlineStr">
        <is>
          <t>0</t>
        </is>
      </c>
      <c r="E20" s="5" t="inlineStr">
        <is>
          <t>2.000,00</t>
        </is>
      </c>
      <c r="F20" s="4" t="inlineStr">
        <is>
          <t>150.00</t>
        </is>
      </c>
    </row>
    <row collapsed="false" customFormat="false" customHeight="false" hidden="false" ht="12.1" outlineLevel="0" r="21">
      <c r="A21" s="5" t="s">
        <f>=HYPERLINK("https://www.leilaoonline.net/lote/detalhe/171059", "010")</f>
      </c>
      <c r="B21" s="4" t="s">
        <f>=HYPERLINK("https://www.leilaoonline.net/lote/detalhe/171059", " Módulo de proteção unidade de controle para partidas inteligentes tesys - modelo Luca 32FU - 110~240 V - Class 10 - 3N - 32A - KA 50 - 5 peças")</f>
      </c>
      <c r="C21" s="4" t="inlineStr">
        <is>
          <t>Não vendido</t>
        </is>
      </c>
      <c r="D21" s="4" t="inlineStr">
        <is>
          <t>0</t>
        </is>
      </c>
      <c r="E21" s="5" t="inlineStr">
        <is>
          <t>2.000,00</t>
        </is>
      </c>
      <c r="F21" s="4" t="inlineStr">
        <is>
          <t>150.00</t>
        </is>
      </c>
    </row>
    <row collapsed="false" customFormat="false" customHeight="false" hidden="false" ht="12.1" outlineLevel="0" r="22">
      <c r="A22" s="5" t="s">
        <f>=HYPERLINK("https://www.leilaoonline.net/lote/detalhe/171060", "011")</f>
      </c>
      <c r="B22" s="4" t="s">
        <f>=HYPERLINK("https://www.leilaoonline.net/lote/detalhe/171060", " Chaves seccionadora - Marca Moeller - Modelo NZM 9 - 250 - 250A KA 35 - Fusível Gligg máx. 400 A - 2 peças")</f>
      </c>
      <c r="C22" s="4" t="inlineStr">
        <is>
          <t>Não vendido</t>
        </is>
      </c>
      <c r="D22" s="4" t="inlineStr">
        <is>
          <t>0</t>
        </is>
      </c>
      <c r="E22" s="5" t="inlineStr">
        <is>
          <t>1.000,00</t>
        </is>
      </c>
      <c r="F22" s="4" t="inlineStr">
        <is>
          <t>150.00</t>
        </is>
      </c>
    </row>
    <row collapsed="false" customFormat="false" customHeight="false" hidden="false" ht="12.1" outlineLevel="0" r="23">
      <c r="A23" s="5" t="s">
        <f>=HYPERLINK("https://www.leilaoonline.net/lote/detalhe/171058", "012")</f>
      </c>
      <c r="B23" s="4" t="s">
        <f>=HYPERLINK("https://www.leilaoonline.net/lote/detalhe/171058", " Chave Seccionadora - Marca Moeller - Modelo NZM 9 - 250 - 250A KA 35 - Fusível Gligg máx. 400 A - 2 peças")</f>
      </c>
      <c r="C23" s="4" t="inlineStr">
        <is>
          <t>Não vendido</t>
        </is>
      </c>
      <c r="D23" s="4" t="inlineStr">
        <is>
          <t>0</t>
        </is>
      </c>
      <c r="E23" s="5" t="inlineStr">
        <is>
          <t>1.000,00</t>
        </is>
      </c>
      <c r="F23" s="4" t="inlineStr">
        <is>
          <t>150.00</t>
        </is>
      </c>
    </row>
    <row collapsed="false" customFormat="false" customHeight="false" hidden="false" ht="12.1" outlineLevel="0" r="24">
      <c r="A24" s="5" t="s">
        <f>=HYPERLINK("https://www.leilaoonline.net/lote/detalhe/171062", "013")</f>
      </c>
      <c r="B24" s="4" t="s">
        <f>=HYPERLINK("https://www.leilaoonline.net/lote/detalhe/171062", " Disjuntor tripolar Schneider com amperagem 32 e 63 - 50 peças")</f>
      </c>
      <c r="C24" s="4" t="inlineStr">
        <is>
          <t>Não vendido</t>
        </is>
      </c>
      <c r="D24" s="4" t="inlineStr">
        <is>
          <t>0</t>
        </is>
      </c>
      <c r="E24" s="5" t="inlineStr">
        <is>
          <t>2.500,00</t>
        </is>
      </c>
      <c r="F24" s="4" t="inlineStr">
        <is>
          <t>150.00</t>
        </is>
      </c>
    </row>
    <row collapsed="false" customFormat="false" customHeight="false" hidden="false" ht="12.1" outlineLevel="0" r="25">
      <c r="A25" s="5" t="s">
        <f>=HYPERLINK("https://www.leilaoonline.net/lote/detalhe/171063", "014")</f>
      </c>
      <c r="B25" s="4" t="s">
        <f>=HYPERLINK("https://www.leilaoonline.net/lote/detalhe/171063", " Disjuntor tripolar Schneider com amperagem 63A - 50 peças")</f>
      </c>
      <c r="C25" s="4" t="inlineStr">
        <is>
          <t>Não vendido</t>
        </is>
      </c>
      <c r="D25" s="4" t="inlineStr">
        <is>
          <t>0</t>
        </is>
      </c>
      <c r="E25" s="5" t="inlineStr">
        <is>
          <t>2.700,00</t>
        </is>
      </c>
      <c r="F25" s="4" t="inlineStr">
        <is>
          <t>150.00</t>
        </is>
      </c>
    </row>
    <row collapsed="false" customFormat="false" customHeight="false" hidden="false" ht="12.1" outlineLevel="0" r="26">
      <c r="A26" s="5" t="s">
        <f>=HYPERLINK("https://www.leilaoonline.net/lote/detalhe/171064", "015")</f>
      </c>
      <c r="B26" s="4" t="s">
        <f>=HYPERLINK("https://www.leilaoonline.net/lote/detalhe/171064", " Disjuntor tripolar Schneider com amperagem 63A - 28 peças")</f>
      </c>
      <c r="C26" s="4" t="inlineStr">
        <is>
          <t>Não vendido</t>
        </is>
      </c>
      <c r="D26" s="4" t="inlineStr">
        <is>
          <t>0</t>
        </is>
      </c>
      <c r="E26" s="5" t="inlineStr">
        <is>
          <t>1.700,00</t>
        </is>
      </c>
      <c r="F26" s="4" t="inlineStr">
        <is>
          <t>150.00</t>
        </is>
      </c>
    </row>
    <row collapsed="false" customFormat="false" customHeight="false" hidden="false" ht="12.1" outlineLevel="0" r="27">
      <c r="A27" s="5" t="s">
        <f>=HYPERLINK("https://www.leilaoonline.net/lote/detalhe/171065", "016")</f>
      </c>
      <c r="B27" s="4" t="s">
        <f>=HYPERLINK("https://www.leilaoonline.net/lote/detalhe/171065", " Disjuntor bipolar Schneider com amperagem 63A - modelo C60N - 42 peças")</f>
      </c>
      <c r="C27" s="4" t="inlineStr">
        <is>
          <t>Não vendido</t>
        </is>
      </c>
      <c r="D27" s="4" t="inlineStr">
        <is>
          <t>0</t>
        </is>
      </c>
      <c r="E27" s="5" t="inlineStr">
        <is>
          <t>2.200,00</t>
        </is>
      </c>
      <c r="F27" s="4" t="inlineStr">
        <is>
          <t>150.00</t>
        </is>
      </c>
    </row>
    <row collapsed="false" customFormat="false" customHeight="false" hidden="false" ht="12.1" outlineLevel="0" r="28">
      <c r="A28" s="5" t="s">
        <f>=HYPERLINK("https://www.leilaoonline.net/lote/detalhe/171067", "017")</f>
      </c>
      <c r="B28" s="4" t="s">
        <f>=HYPERLINK("https://www.leilaoonline.net/lote/detalhe/171067", " Disjuntor bipolar com relé e sem relé diversas amperagens - 50 peças")</f>
      </c>
      <c r="C28" s="4" t="inlineStr">
        <is>
          <t>Não vendido</t>
        </is>
      </c>
      <c r="D28" s="4" t="inlineStr">
        <is>
          <t>0</t>
        </is>
      </c>
      <c r="E28" s="5" t="inlineStr">
        <is>
          <t>2.500,00</t>
        </is>
      </c>
      <c r="F28" s="4" t="inlineStr">
        <is>
          <t>150.00</t>
        </is>
      </c>
    </row>
    <row collapsed="false" customFormat="false" customHeight="false" hidden="false" ht="12.1" outlineLevel="0" r="29">
      <c r="A29" s="5" t="s">
        <f>=HYPERLINK("https://www.leilaoonline.net/lote/detalhe/171068", "018")</f>
      </c>
      <c r="B29" s="4" t="s">
        <f>=HYPERLINK("https://www.leilaoonline.net/lote/detalhe/171068", " Disjuntor tripolar e bipolar - diversas amperagens - Schneider - 50 peças")</f>
      </c>
      <c r="C29" s="4" t="inlineStr">
        <is>
          <t>Não vendido</t>
        </is>
      </c>
      <c r="D29" s="4" t="inlineStr">
        <is>
          <t>0</t>
        </is>
      </c>
      <c r="E29" s="5" t="inlineStr">
        <is>
          <t>2.500,00</t>
        </is>
      </c>
      <c r="F29" s="4" t="inlineStr">
        <is>
          <t>150.00</t>
        </is>
      </c>
    </row>
    <row collapsed="false" customFormat="false" customHeight="false" hidden="false" ht="12.1" outlineLevel="0" r="30">
      <c r="A30" s="5" t="s">
        <f>=HYPERLINK("https://www.leilaoonline.net/lote/detalhe/171066", "019")</f>
      </c>
      <c r="B30" s="4" t="s">
        <f>=HYPERLINK("https://www.leilaoonline.net/lote/detalhe/171066", " Disjuntor tripolar, bipolar e unipolar - diversas amperagens - Merlim Gerín - 71 peças")</f>
      </c>
      <c r="C30" s="4" t="inlineStr">
        <is>
          <t>Não vendido</t>
        </is>
      </c>
      <c r="D30" s="4" t="inlineStr">
        <is>
          <t>0</t>
        </is>
      </c>
      <c r="E30" s="5" t="inlineStr">
        <is>
          <t>2.500,00</t>
        </is>
      </c>
      <c r="F30" s="4" t="inlineStr">
        <is>
          <t>150.00</t>
        </is>
      </c>
    </row>
    <row collapsed="false" customFormat="false" customHeight="false" hidden="false" ht="12.1" outlineLevel="0" r="31">
      <c r="A31" s="5" t="s">
        <f>=HYPERLINK("https://www.leilaoonline.net/lote/detalhe/171069", "020")</f>
      </c>
      <c r="B31" s="4" t="s">
        <f>=HYPERLINK("https://www.leilaoonline.net/lote/detalhe/171069", " Disjuntor tripolar 63A - marca multi9 - Merlin Gerin - 100 peças")</f>
      </c>
      <c r="C31" s="4" t="inlineStr">
        <is>
          <t>Não vendido</t>
        </is>
      </c>
      <c r="D31" s="4" t="inlineStr">
        <is>
          <t>0</t>
        </is>
      </c>
      <c r="E31" s="5" t="inlineStr">
        <is>
          <t>5.000,00</t>
        </is>
      </c>
      <c r="F31" s="4" t="inlineStr">
        <is>
          <t>250.00</t>
        </is>
      </c>
    </row>
    <row collapsed="false" customFormat="false" customHeight="false" hidden="false" ht="12.1" outlineLevel="0" r="32">
      <c r="A32" s="5" t="s">
        <f>=HYPERLINK("https://www.leilaoonline.net/lote/detalhe/171072", "021")</f>
      </c>
      <c r="B32" s="4" t="s">
        <f>=HYPERLINK("https://www.leilaoonline.net/lote/detalhe/171072", " Disjuntor bipolar Merlin Gerin - modelo multi9 - 20A - curva C - 25 peças")</f>
      </c>
      <c r="C32" s="4" t="inlineStr">
        <is>
          <t>Não vendido</t>
        </is>
      </c>
      <c r="D32" s="4" t="inlineStr">
        <is>
          <t>0</t>
        </is>
      </c>
      <c r="E32" s="5" t="inlineStr">
        <is>
          <t>1.700,00</t>
        </is>
      </c>
      <c r="F32" s="4" t="inlineStr">
        <is>
          <t>150.00</t>
        </is>
      </c>
    </row>
    <row collapsed="false" customFormat="false" customHeight="false" hidden="false" ht="12.1" outlineLevel="0" r="33">
      <c r="A33" s="5" t="s">
        <f>=HYPERLINK("https://www.leilaoonline.net/lote/detalhe/171073", "022")</f>
      </c>
      <c r="B33" s="4" t="s">
        <f>=HYPERLINK("https://www.leilaoonline.net/lote/detalhe/171073", " Disjuntor bipolar Merlin Gerin - modelo multi9 - 40A - Curva C - 44 peças")</f>
      </c>
      <c r="C33" s="4" t="inlineStr">
        <is>
          <t>Não vendido</t>
        </is>
      </c>
      <c r="D33" s="4" t="inlineStr">
        <is>
          <t>0</t>
        </is>
      </c>
      <c r="E33" s="5" t="inlineStr">
        <is>
          <t>2.000,00</t>
        </is>
      </c>
      <c r="F33" s="4" t="inlineStr">
        <is>
          <t>150.00</t>
        </is>
      </c>
    </row>
    <row collapsed="false" customFormat="false" customHeight="false" hidden="false" ht="12.1" outlineLevel="0" r="34">
      <c r="A34" s="5" t="s">
        <f>=HYPERLINK("https://www.leilaoonline.net/lote/detalhe/171070", "023")</f>
      </c>
      <c r="B34" s="4" t="s">
        <f>=HYPERLINK("https://www.leilaoonline.net/lote/detalhe/171070", " Disjuntor bipolar Merlin Gerin - modelo multi9 - 32A - C60n - Curva C - 78 peças")</f>
      </c>
      <c r="C34" s="4" t="inlineStr">
        <is>
          <t>Não vendido</t>
        </is>
      </c>
      <c r="D34" s="4" t="inlineStr">
        <is>
          <t>0</t>
        </is>
      </c>
      <c r="E34" s="5" t="inlineStr">
        <is>
          <t>2.600,00</t>
        </is>
      </c>
      <c r="F34" s="4" t="inlineStr">
        <is>
          <t>150.00</t>
        </is>
      </c>
    </row>
    <row collapsed="false" customFormat="false" customHeight="false" hidden="false" ht="12.1" outlineLevel="0" r="35">
      <c r="A35" s="5" t="s">
        <f>=HYPERLINK("https://www.leilaoonline.net/lote/detalhe/171071", "024")</f>
      </c>
      <c r="B35" s="4" t="s">
        <f>=HYPERLINK("https://www.leilaoonline.net/lote/detalhe/171071", " Disjuntor bipolar Merlin Gerin - modelo multi9 - 40A - C60n - Curva C - 28 peças")</f>
      </c>
      <c r="C35" s="4" t="inlineStr">
        <is>
          <t>Não vendido</t>
        </is>
      </c>
      <c r="D35" s="4" t="inlineStr">
        <is>
          <t>0</t>
        </is>
      </c>
      <c r="E35" s="5" t="inlineStr">
        <is>
          <t>1.100,00</t>
        </is>
      </c>
      <c r="F35" s="4" t="inlineStr">
        <is>
          <t>150.00</t>
        </is>
      </c>
    </row>
    <row collapsed="false" customFormat="false" customHeight="false" hidden="false" ht="12.1" outlineLevel="0" r="36">
      <c r="A36" s="5" t="s">
        <f>=HYPERLINK("https://www.leilaoonline.net/lote/detalhe/171074", "025")</f>
      </c>
      <c r="B36" s="4" t="s">
        <f>=HYPERLINK("https://www.leilaoonline.net/lote/detalhe/171074", " Disjuntor tripolar bipolar e unipolar diversas amperagens - Siemens - 120 peças")</f>
      </c>
      <c r="C36" s="4" t="inlineStr">
        <is>
          <t>Não vendido</t>
        </is>
      </c>
      <c r="D36" s="4" t="inlineStr">
        <is>
          <t>0</t>
        </is>
      </c>
      <c r="E36" s="5" t="inlineStr">
        <is>
          <t>2.800,00</t>
        </is>
      </c>
      <c r="F36" s="4" t="inlineStr">
        <is>
          <t>150.00</t>
        </is>
      </c>
    </row>
    <row collapsed="false" customFormat="false" customHeight="false" hidden="false" ht="12.1" outlineLevel="0" r="37">
      <c r="A37" s="5" t="s">
        <f>=HYPERLINK("https://www.leilaoonline.net/lote/detalhe/171077", "026")</f>
      </c>
      <c r="B37" s="4" t="s">
        <f>=HYPERLINK("https://www.leilaoonline.net/lote/detalhe/171077", " Disjuntor tripolar bipolar diversas amperagens - Schneider - Merlin Gerin - 32 peças")</f>
      </c>
      <c r="C37" s="4" t="inlineStr">
        <is>
          <t>Não vendido</t>
        </is>
      </c>
      <c r="D37" s="4" t="inlineStr">
        <is>
          <t>0</t>
        </is>
      </c>
      <c r="E37" s="5" t="inlineStr">
        <is>
          <t>1.200,00</t>
        </is>
      </c>
      <c r="F37" s="4" t="inlineStr">
        <is>
          <t>150.00</t>
        </is>
      </c>
    </row>
    <row collapsed="false" customFormat="false" customHeight="false" hidden="false" ht="12.1" outlineLevel="0" r="38">
      <c r="A38" s="5" t="s">
        <f>=HYPERLINK("https://www.leilaoonline.net/lote/detalhe/171078", "027")</f>
      </c>
      <c r="B38" s="4" t="s">
        <f>=HYPERLINK("https://www.leilaoonline.net/lote/detalhe/171078", " Disjuntor unipolar com relé SD 0f 16A - Merlin Gerin - NC 100 L - 23 peças")</f>
      </c>
      <c r="C38" s="4" t="inlineStr">
        <is>
          <t>Não vendido</t>
        </is>
      </c>
      <c r="D38" s="4" t="inlineStr">
        <is>
          <t>0</t>
        </is>
      </c>
      <c r="E38" s="5" t="inlineStr">
        <is>
          <t>1.000,00</t>
        </is>
      </c>
      <c r="F38" s="4" t="inlineStr">
        <is>
          <t>150.00</t>
        </is>
      </c>
    </row>
    <row collapsed="false" customFormat="false" customHeight="false" hidden="false" ht="12.1" outlineLevel="0" r="39">
      <c r="A39" s="5" t="s">
        <f>=HYPERLINK("https://www.leilaoonline.net/lote/detalhe/171075", "028")</f>
      </c>
      <c r="B39" s="4" t="s">
        <f>=HYPERLINK("https://www.leilaoonline.net/lote/detalhe/171075", " Disjuntor tripolar, bipolar e unipolar - diversas amperagens e modelos Schneider - 54 peças")</f>
      </c>
      <c r="C39" s="4" t="inlineStr">
        <is>
          <t>Não vendido</t>
        </is>
      </c>
      <c r="D39" s="4" t="inlineStr">
        <is>
          <t>0</t>
        </is>
      </c>
      <c r="E39" s="5" t="inlineStr">
        <is>
          <t>1.900,00</t>
        </is>
      </c>
      <c r="F39" s="4" t="inlineStr">
        <is>
          <t>150.00</t>
        </is>
      </c>
    </row>
    <row collapsed="false" customFormat="false" customHeight="false" hidden="false" ht="12.1" outlineLevel="0" r="40">
      <c r="A40" s="5" t="s">
        <f>=HYPERLINK("https://www.leilaoonline.net/lote/detalhe/171079", "029")</f>
      </c>
      <c r="B40" s="4" t="s">
        <f>=HYPERLINK("https://www.leilaoonline.net/lote/detalhe/171079", " Disjuntores Schneider - c60n - 32A (30 peças) - 40A (15 peças) - 4A (15 peças) com relé - curva C - Total 60 peças")</f>
      </c>
      <c r="C40" s="4" t="inlineStr">
        <is>
          <t>Não vendido</t>
        </is>
      </c>
      <c r="D40" s="4" t="inlineStr">
        <is>
          <t>0</t>
        </is>
      </c>
      <c r="E40" s="5" t="inlineStr">
        <is>
          <t>1.400,00</t>
        </is>
      </c>
      <c r="F40" s="4" t="inlineStr">
        <is>
          <t>150.00</t>
        </is>
      </c>
    </row>
    <row collapsed="false" customFormat="false" customHeight="false" hidden="false" ht="12.1" outlineLevel="0" r="41">
      <c r="A41" s="5" t="s">
        <f>=HYPERLINK("https://www.leilaoonline.net/lote/detalhe/171076", "030")</f>
      </c>
      <c r="B41" s="4" t="s">
        <f>=HYPERLINK("https://www.leilaoonline.net/lote/detalhe/171076", " Disjuntores tripolar, bipolar e unipolar - diversas amperagens - marca Schneider, Siemens, ABB e WEG - 48 peças")</f>
      </c>
      <c r="C41" s="4" t="inlineStr">
        <is>
          <t>Não vendido</t>
        </is>
      </c>
      <c r="D41" s="4" t="inlineStr">
        <is>
          <t>0</t>
        </is>
      </c>
      <c r="E41" s="5" t="inlineStr">
        <is>
          <t>700,00</t>
        </is>
      </c>
      <c r="F41" s="4" t="inlineStr">
        <is>
          <t>150.00</t>
        </is>
      </c>
    </row>
    <row collapsed="false" customFormat="false" customHeight="false" hidden="false" ht="12.1" outlineLevel="0" r="42">
      <c r="A42" s="5" t="s">
        <f>=HYPERLINK("https://www.leilaoonline.net/lote/detalhe/171080", "031")</f>
      </c>
      <c r="B42" s="4" t="s">
        <f>=HYPERLINK("https://www.leilaoonline.net/lote/detalhe/171080", " Disjuntores bipolar - diversas amperagens - Schneider - curva C - 35 peças")</f>
      </c>
      <c r="C42" s="4" t="inlineStr">
        <is>
          <t>Não vendido</t>
        </is>
      </c>
      <c r="D42" s="4" t="inlineStr">
        <is>
          <t>0</t>
        </is>
      </c>
      <c r="E42" s="5" t="inlineStr">
        <is>
          <t>700,00</t>
        </is>
      </c>
      <c r="F42" s="4" t="inlineStr">
        <is>
          <t>150.00</t>
        </is>
      </c>
    </row>
    <row collapsed="false" customFormat="false" customHeight="false" hidden="false" ht="12.1" outlineLevel="0" r="43">
      <c r="A43" s="5" t="s">
        <f>=HYPERLINK("https://www.leilaoonline.net/lote/detalhe/171082", "032")</f>
      </c>
      <c r="B43" s="4" t="s">
        <f>=HYPERLINK("https://www.leilaoonline.net/lote/detalhe/171082", " Disjuntores tripolar, bipolar e unipolar - diversas amperagens - Schneider - modelo IC60N - C60N - K32A - C60H-DC - Curva C - com relé e sem relé - 48 peças")</f>
      </c>
      <c r="C43" s="4" t="inlineStr">
        <is>
          <t>Não vendido</t>
        </is>
      </c>
      <c r="D43" s="4" t="inlineStr">
        <is>
          <t>0</t>
        </is>
      </c>
      <c r="E43" s="5" t="inlineStr">
        <is>
          <t>1.300,00</t>
        </is>
      </c>
      <c r="F43" s="4" t="inlineStr">
        <is>
          <t>150.00</t>
        </is>
      </c>
    </row>
    <row collapsed="false" customFormat="false" customHeight="false" hidden="false" ht="12.1" outlineLevel="0" r="44">
      <c r="A44" s="5" t="s">
        <f>=HYPERLINK("https://www.leilaoonline.net/lote/detalhe/171081", "033")</f>
      </c>
      <c r="B44" s="4" t="s">
        <f>=HYPERLINK("https://www.leilaoonline.net/lote/detalhe/171081", " Disjuntor caixa moldada - Merlin Gerin - Modelo - NS 630H - 630A - KA 100 - 2 peças")</f>
      </c>
      <c r="C44" s="4" t="inlineStr">
        <is>
          <t>Não vendido</t>
        </is>
      </c>
      <c r="D44" s="4" t="inlineStr">
        <is>
          <t>0</t>
        </is>
      </c>
      <c r="E44" s="5" t="inlineStr">
        <is>
          <t>2.300,00</t>
        </is>
      </c>
      <c r="F44" s="4" t="inlineStr">
        <is>
          <t>250.00</t>
        </is>
      </c>
    </row>
    <row collapsed="false" customFormat="false" customHeight="false" hidden="false" ht="12.1" outlineLevel="0" r="45">
      <c r="A45" s="5" t="s">
        <f>=HYPERLINK("https://www.leilaoonline.net/lote/detalhe/171084", "034")</f>
      </c>
      <c r="B45" s="4" t="s">
        <f>=HYPERLINK("https://www.leilaoonline.net/lote/detalhe/171084", " Disjuntor caixa moldada Merlin Gerim - Modelo (1) - NB 600n 500A - 1 Peça Modelo (2) - NB 400M - 350A - 1 peça - os 2 modelos são de KA 30 - Total 2 peças")</f>
      </c>
      <c r="C45" s="4" t="inlineStr">
        <is>
          <t>Não vendido</t>
        </is>
      </c>
      <c r="D45" s="4" t="inlineStr">
        <is>
          <t>0</t>
        </is>
      </c>
      <c r="E45" s="5" t="inlineStr">
        <is>
          <t>1.900,00</t>
        </is>
      </c>
      <c r="F45" s="4" t="inlineStr">
        <is>
          <t>150.00</t>
        </is>
      </c>
    </row>
    <row collapsed="false" customFormat="false" customHeight="false" hidden="false" ht="12.1" outlineLevel="0" r="46">
      <c r="A46" s="5" t="s">
        <f>=HYPERLINK("https://www.leilaoonline.net/lote/detalhe/171083", "035")</f>
      </c>
      <c r="B46" s="4" t="s">
        <f>=HYPERLINK("https://www.leilaoonline.net/lote/detalhe/171083", " Disjuntor caixa moldada - Merlin Gerlin Modelo (1) NS400A - KA 85 - 1 peça - Modelo (2) NS 630H - 630A - KA 100 - 1 peça - Modelo NB600N - 500A - KA 30 - 1 peça - Total 3 peças")</f>
      </c>
      <c r="C46" s="4" t="inlineStr">
        <is>
          <t>Não vendido</t>
        </is>
      </c>
      <c r="D46" s="4" t="inlineStr">
        <is>
          <t>0</t>
        </is>
      </c>
      <c r="E46" s="5" t="inlineStr">
        <is>
          <t>3.300,00</t>
        </is>
      </c>
      <c r="F46" s="4" t="inlineStr">
        <is>
          <t>250.00</t>
        </is>
      </c>
    </row>
    <row collapsed="false" customFormat="false" customHeight="false" hidden="false" ht="12.1" outlineLevel="0" r="47">
      <c r="A47" s="5" t="s">
        <f>=HYPERLINK("https://www.leilaoonline.net/lote/detalhe/171086", "036")</f>
      </c>
      <c r="B47" s="4" t="s">
        <f>=HYPERLINK("https://www.leilaoonline.net/lote/detalhe/171086", " Disjuntores caixa moldada - Schneider e Merlin Gerin - diversas amperagens - Ka 50 - Modelo EZC100H - 60 Peças")</f>
      </c>
      <c r="C47" s="4" t="inlineStr">
        <is>
          <t>Não vendido</t>
        </is>
      </c>
      <c r="D47" s="4" t="inlineStr">
        <is>
          <t>0</t>
        </is>
      </c>
      <c r="E47" s="5" t="inlineStr">
        <is>
          <t>4.000,00</t>
        </is>
      </c>
      <c r="F47" s="4" t="inlineStr">
        <is>
          <t>250.00</t>
        </is>
      </c>
    </row>
    <row collapsed="false" customFormat="false" customHeight="false" hidden="false" ht="12.1" outlineLevel="0" r="48">
      <c r="A48" s="5" t="s">
        <f>=HYPERLINK("https://www.leilaoonline.net/lote/detalhe/171085", "037")</f>
      </c>
      <c r="B48" s="4" t="s">
        <f>=HYPERLINK("https://www.leilaoonline.net/lote/detalhe/171085", " Disjuntores caixa moldada - Schneider e Merlin Gerin - diversas amperagens - KA 50 - Modelo EZC100H - 60 Peças")</f>
      </c>
      <c r="C48" s="4" t="inlineStr">
        <is>
          <t>Não vendido</t>
        </is>
      </c>
      <c r="D48" s="4" t="inlineStr">
        <is>
          <t>0</t>
        </is>
      </c>
      <c r="E48" s="5" t="inlineStr">
        <is>
          <t>4.000,00</t>
        </is>
      </c>
      <c r="F48" s="4" t="inlineStr">
        <is>
          <t>250.00</t>
        </is>
      </c>
    </row>
    <row collapsed="false" customFormat="false" customHeight="false" hidden="false" ht="12.1" outlineLevel="0" r="49">
      <c r="A49" s="5" t="s">
        <f>=HYPERLINK("https://www.leilaoonline.net/lote/detalhe/171087", "038")</f>
      </c>
      <c r="B49" s="4" t="s">
        <f>=HYPERLINK("https://www.leilaoonline.net/lote/detalhe/171087", " Disjuntores caixa moldada - Schneider e Merlin Gerin - diversas amperagens - KA 50 - Modelo EZC100H - 53 Peças")</f>
      </c>
      <c r="C49" s="4" t="inlineStr">
        <is>
          <t>Não vendido</t>
        </is>
      </c>
      <c r="D49" s="4" t="inlineStr">
        <is>
          <t>0</t>
        </is>
      </c>
      <c r="E49" s="5" t="inlineStr">
        <is>
          <t>3.500,00</t>
        </is>
      </c>
      <c r="F49" s="4" t="inlineStr">
        <is>
          <t>250.00</t>
        </is>
      </c>
    </row>
    <row collapsed="false" customFormat="false" customHeight="false" hidden="false" ht="12.1" outlineLevel="0" r="50">
      <c r="A50" s="5" t="s">
        <f>=HYPERLINK("https://www.leilaoonline.net/lote/detalhe/171091", "039")</f>
      </c>
      <c r="B50" s="4" t="s">
        <f>=HYPERLINK("https://www.leilaoonline.net/lote/detalhe/171091", " Disjuntores caixa moldada - Siemens 3VT 3=630 A = CODE - 3VT3763-2A - A36-OAAO - 2 peças - 40KA")</f>
      </c>
      <c r="C50" s="4" t="inlineStr">
        <is>
          <t>Não vendido</t>
        </is>
      </c>
      <c r="D50" s="4" t="inlineStr">
        <is>
          <t>0</t>
        </is>
      </c>
      <c r="E50" s="5" t="inlineStr">
        <is>
          <t>4.300,00</t>
        </is>
      </c>
      <c r="F50" s="4" t="inlineStr">
        <is>
          <t>250.00</t>
        </is>
      </c>
    </row>
    <row collapsed="false" customFormat="false" customHeight="false" hidden="false" ht="12.1" outlineLevel="0" r="51">
      <c r="A51" s="5" t="s">
        <f>=HYPERLINK("https://www.leilaoonline.net/lote/detalhe/171092", "040")</f>
      </c>
      <c r="B51" s="4" t="s">
        <f>=HYPERLINK("https://www.leilaoonline.net/lote/detalhe/171092", " Disjuntor caixa moldada - Siemens 3VT4 1000A - code 3VT4710-3AA30-0AA0 - KA45 - 1 peça")</f>
      </c>
      <c r="C51" s="4" t="inlineStr">
        <is>
          <t>Não vendido</t>
        </is>
      </c>
      <c r="D51" s="4" t="inlineStr">
        <is>
          <t>0</t>
        </is>
      </c>
      <c r="E51" s="5" t="inlineStr">
        <is>
          <t>5.700,00</t>
        </is>
      </c>
      <c r="F51" s="4" t="inlineStr">
        <is>
          <t>250.00</t>
        </is>
      </c>
    </row>
    <row collapsed="false" customFormat="false" customHeight="false" hidden="false" ht="12.1" outlineLevel="0" r="52">
      <c r="A52" s="5" t="s">
        <f>=HYPERLINK("https://www.leilaoonline.net/lote/detalhe/171088", "041")</f>
      </c>
      <c r="B52" s="4" t="s">
        <f>=HYPERLINK("https://www.leilaoonline.net/lote/detalhe/171088", " Disjuntores caixa moldada - Diversas amperagens - 19 peças")</f>
      </c>
      <c r="C52" s="4" t="inlineStr">
        <is>
          <t>Não vendido</t>
        </is>
      </c>
      <c r="D52" s="4" t="inlineStr">
        <is>
          <t>0</t>
        </is>
      </c>
      <c r="E52" s="5" t="inlineStr">
        <is>
          <t>1.500,00</t>
        </is>
      </c>
      <c r="F52" s="4" t="inlineStr">
        <is>
          <t>150.00</t>
        </is>
      </c>
    </row>
    <row collapsed="false" customFormat="false" customHeight="false" hidden="false" ht="12.1" outlineLevel="0" r="53">
      <c r="A53" s="5" t="s">
        <f>=HYPERLINK("https://www.leilaoonline.net/lote/detalhe/171089", "042")</f>
      </c>
      <c r="B53" s="4" t="s">
        <f>=HYPERLINK("https://www.leilaoonline.net/lote/detalhe/171089", " Disjuntores caixa moldada diversas marcas lote contém 3 peças 175A, 3 peças 100A, 2 peças 150A, 3 peças 200A, 1 peça 250A - total de amperagens 1975A - total de peças 12")</f>
      </c>
      <c r="C53" s="4" t="inlineStr">
        <is>
          <t>Não vendido</t>
        </is>
      </c>
      <c r="D53" s="4" t="inlineStr">
        <is>
          <t>0</t>
        </is>
      </c>
      <c r="E53" s="5" t="inlineStr">
        <is>
          <t>2.500,00</t>
        </is>
      </c>
      <c r="F53" s="4" t="inlineStr">
        <is>
          <t>250.00</t>
        </is>
      </c>
    </row>
    <row collapsed="false" customFormat="false" customHeight="false" hidden="false" ht="12.1" outlineLevel="0" r="54">
      <c r="A54" s="5" t="s">
        <f>=HYPERLINK("https://www.leilaoonline.net/lote/detalhe/171090", "043")</f>
      </c>
      <c r="B54" s="4" t="s">
        <f>=HYPERLINK("https://www.leilaoonline.net/lote/detalhe/171090", " Disjuntores Caixa Moldada Marca Moeller e Eaton - 2 peças 250A - 3 peças 160A - 1 peça 125A - 4 peças 200A - 3 peças 100A - 1 peça 80A - 2 peças 63A - 1 Peça 50A - 1 peça 25A - Total de amperes 2486 - Total de peças 18")</f>
      </c>
      <c r="C54" s="4" t="inlineStr">
        <is>
          <t>Não vendido</t>
        </is>
      </c>
      <c r="D54" s="4" t="inlineStr">
        <is>
          <t>0</t>
        </is>
      </c>
      <c r="E54" s="5" t="inlineStr">
        <is>
          <t>4.600,00</t>
        </is>
      </c>
      <c r="F54" s="4" t="inlineStr">
        <is>
          <t>250.00</t>
        </is>
      </c>
    </row>
    <row collapsed="false" customFormat="false" customHeight="false" hidden="false" ht="12.1" outlineLevel="0" r="55">
      <c r="A55" s="5" t="s">
        <f>=HYPERLINK("https://www.leilaoonline.net/lote/detalhe/171093", "044")</f>
      </c>
      <c r="B55" s="4" t="s">
        <f>=HYPERLINK("https://www.leilaoonline.net/lote/detalhe/171093", " Disjuntores caixa moldada - diversas marcas - 7 peças 100 - 4 peças 125A - 2 peças 150A - 1 peça 200A - 2 peças 175A - 1 peça 30A - 1 peça 225A - total de amperes 2305A - Total de peças 18")</f>
      </c>
      <c r="C55" s="4" t="inlineStr">
        <is>
          <t>Não vendido</t>
        </is>
      </c>
      <c r="D55" s="4" t="inlineStr">
        <is>
          <t>0</t>
        </is>
      </c>
      <c r="E55" s="5" t="inlineStr">
        <is>
          <t>4.100,00</t>
        </is>
      </c>
      <c r="F55" s="4" t="inlineStr">
        <is>
          <t>250.00</t>
        </is>
      </c>
    </row>
    <row collapsed="false" customFormat="false" customHeight="false" hidden="false" ht="12.1" outlineLevel="0" r="56">
      <c r="A56" s="5" t="s">
        <f>=HYPERLINK("https://www.leilaoonline.net/lote/detalhe/171095", "045")</f>
      </c>
      <c r="B56" s="4" t="s">
        <f>=HYPERLINK("https://www.leilaoonline.net/lote/detalhe/171095", " Disjuntores caixa moldada - diversas marcas - 1 peça 90A - 4 peças 100 A - 4 peças 50A - 3 peças 80A - 1 peça 60A - 1 peça 20A - 1 peça 125A - 1 peça 40A - Total de amperes 1.175A - Total de peças 16")</f>
      </c>
      <c r="C56" s="4" t="inlineStr">
        <is>
          <t>Não vendido</t>
        </is>
      </c>
      <c r="D56" s="4" t="inlineStr">
        <is>
          <t>0</t>
        </is>
      </c>
      <c r="E56" s="5" t="inlineStr">
        <is>
          <t>1.900,00</t>
        </is>
      </c>
      <c r="F56" s="4" t="inlineStr">
        <is>
          <t>150.00</t>
        </is>
      </c>
    </row>
    <row collapsed="false" customFormat="false" customHeight="false" hidden="false" ht="12.1" outlineLevel="0" r="57">
      <c r="A57" s="5" t="s">
        <f>=HYPERLINK("https://www.leilaoonline.net/lote/detalhe/171096", "046")</f>
      </c>
      <c r="B57" s="4" t="s">
        <f>=HYPERLINK("https://www.leilaoonline.net/lote/detalhe/171096", " Disjuntores caixa moldada Steck - Modelo SD s100 3 peças, 100A KA 42 7 peças, Modelo SD LS 63 63A KA 42 2 peças, Modelo SDSS 63 63A 1 peça - Total de amperes 889 - Total de peças 10")</f>
      </c>
      <c r="C57" s="4" t="inlineStr">
        <is>
          <t>Não vendido</t>
        </is>
      </c>
      <c r="D57" s="4" t="inlineStr">
        <is>
          <t>0</t>
        </is>
      </c>
      <c r="E57" s="5" t="inlineStr">
        <is>
          <t>2.000,00</t>
        </is>
      </c>
      <c r="F57" s="4" t="inlineStr">
        <is>
          <t>250.00</t>
        </is>
      </c>
    </row>
    <row collapsed="false" customFormat="false" customHeight="false" hidden="false" ht="12.1" outlineLevel="0" r="58">
      <c r="A58" s="5" t="s">
        <f>=HYPERLINK("https://www.leilaoonline.net/lote/detalhe/171094", "047")</f>
      </c>
      <c r="B58" s="4" t="s">
        <f>=HYPERLINK("https://www.leilaoonline.net/lote/detalhe/171094", " Disjuntores caixa moldada Schneider - Modelo CVS 100 B, 100A 5 peças KA 40, 80A 4 peças KA 40, 250A 1 peça KA 40 da Marca EasnPact - Modelo CVS 100B 100A 12 peças KA 25 da Schneider com Pact - Total de amperes 2.270 - Total de peças 22")</f>
      </c>
      <c r="C58" s="4" t="inlineStr">
        <is>
          <t>Não vendido</t>
        </is>
      </c>
      <c r="D58" s="4" t="inlineStr">
        <is>
          <t>0</t>
        </is>
      </c>
      <c r="E58" s="5" t="inlineStr">
        <is>
          <t>3.100,00</t>
        </is>
      </c>
      <c r="F58" s="4" t="inlineStr">
        <is>
          <t>250.00</t>
        </is>
      </c>
    </row>
    <row collapsed="false" customFormat="false" customHeight="false" hidden="false" ht="12.1" outlineLevel="0" r="59">
      <c r="A59" s="5" t="s">
        <f>=HYPERLINK("https://www.leilaoonline.net/lote/detalhe/171099", "048")</f>
      </c>
      <c r="B59" s="4" t="s">
        <f>=HYPERLINK("https://www.leilaoonline.net/lote/detalhe/171099", " Disjuntores caixa moldada Schneider - Modelo CVS 400F 400S 4 peças compact - Modelo CVS 400F 400A 1 peça da Schneider Easy Pact KA 40 Merlin Gerin NS400L 400A KA 150 1 peça - Total de amperes 2400 - Total de peças 6")</f>
      </c>
      <c r="C59" s="4" t="inlineStr">
        <is>
          <t>Não vendido</t>
        </is>
      </c>
      <c r="D59" s="4" t="inlineStr">
        <is>
          <t>0</t>
        </is>
      </c>
      <c r="E59" s="5" t="inlineStr">
        <is>
          <t>4.500,00</t>
        </is>
      </c>
      <c r="F59" s="4" t="inlineStr">
        <is>
          <t>250.00</t>
        </is>
      </c>
    </row>
    <row collapsed="false" customFormat="false" customHeight="false" hidden="false" ht="12.1" outlineLevel="0" r="60">
      <c r="A60" s="5" t="s">
        <f>=HYPERLINK("https://www.leilaoonline.net/lote/detalhe/171097", "049")</f>
      </c>
      <c r="B60" s="4" t="s">
        <f>=HYPERLINK("https://www.leilaoonline.net/lote/detalhe/171097", " Chaves seccionadoras sob carga - Marca ABB Modelo OETL 630 K5 630A - 2 peças")</f>
      </c>
      <c r="C60" s="4" t="inlineStr">
        <is>
          <t>Não vendido</t>
        </is>
      </c>
      <c r="D60" s="4" t="inlineStr">
        <is>
          <t>0</t>
        </is>
      </c>
      <c r="E60" s="5" t="inlineStr">
        <is>
          <t>2.000,00</t>
        </is>
      </c>
      <c r="F60" s="4" t="inlineStr">
        <is>
          <t>250.00</t>
        </is>
      </c>
    </row>
    <row collapsed="false" customFormat="false" customHeight="false" hidden="false" ht="12.1" outlineLevel="0" r="61">
      <c r="A61" s="5" t="s">
        <f>=HYPERLINK("https://www.leilaoonline.net/lote/detalhe/171098", "050")</f>
      </c>
      <c r="B61" s="4" t="s">
        <f>=HYPERLINK("https://www.leilaoonline.net/lote/detalhe/171098", " Chaves seccionadoras sob carga - Marca ABB Modelo OETL 630 K5 630A - 2 peças")</f>
      </c>
      <c r="C61" s="4" t="inlineStr">
        <is>
          <t>Não vendido</t>
        </is>
      </c>
      <c r="D61" s="4" t="inlineStr">
        <is>
          <t>0</t>
        </is>
      </c>
      <c r="E61" s="5" t="inlineStr">
        <is>
          <t>2.000,00</t>
        </is>
      </c>
      <c r="F61" s="4" t="inlineStr">
        <is>
          <t>250.00</t>
        </is>
      </c>
    </row>
    <row collapsed="false" customFormat="false" customHeight="false" hidden="false" ht="12.1" outlineLevel="0" r="62">
      <c r="A62" s="5" t="s">
        <f>=HYPERLINK("https://www.leilaoonline.net/lote/detalhe/171102", "051")</f>
      </c>
      <c r="B62" s="4" t="s">
        <f>=HYPERLINK("https://www.leilaoonline.net/lote/detalhe/171102", " Chaves seccionadoras sob carga - Marca ABB Modelo OETL 630 K5 630A - 1 peças - Chaves seccionadora 1250A - 3KU1 827 Siemens ACE 1 peça - Total de peças 2")</f>
      </c>
      <c r="C62" s="4" t="inlineStr">
        <is>
          <t>Não vendido</t>
        </is>
      </c>
      <c r="D62" s="4" t="inlineStr">
        <is>
          <t>0</t>
        </is>
      </c>
      <c r="E62" s="5" t="inlineStr">
        <is>
          <t>2.000,00</t>
        </is>
      </c>
      <c r="F62" s="4" t="inlineStr">
        <is>
          <t>250.00</t>
        </is>
      </c>
    </row>
    <row collapsed="false" customFormat="false" customHeight="false" hidden="false" ht="12.1" outlineLevel="0" r="63">
      <c r="A63" s="5" t="s">
        <f>=HYPERLINK("https://www.leilaoonline.net/lote/detalhe/171103", "052")</f>
      </c>
      <c r="B63" s="4" t="s">
        <f>=HYPERLINK("https://www.leilaoonline.net/lote/detalhe/171103", " Chaves seccionadoras Siemens - Modelo 3KU1 227 ACE 200A 6 peças - Chave seccionadora Sace Schmersal - Modelo 3KU 2-427 400A AC 22 1 peça - Total 7 peças")</f>
      </c>
      <c r="C63" s="4" t="inlineStr">
        <is>
          <t>Não vendido</t>
        </is>
      </c>
      <c r="D63" s="4" t="inlineStr">
        <is>
          <t>0</t>
        </is>
      </c>
      <c r="E63" s="5" t="inlineStr">
        <is>
          <t>1.100,00</t>
        </is>
      </c>
      <c r="F63" s="4" t="inlineStr">
        <is>
          <t>150.00</t>
        </is>
      </c>
    </row>
    <row collapsed="false" customFormat="false" customHeight="false" hidden="false" ht="12.1" outlineLevel="0" r="64">
      <c r="A64" s="5" t="s">
        <f>=HYPERLINK("https://www.leilaoonline.net/lote/detalhe/171104", "053")</f>
      </c>
      <c r="B64" s="4" t="s">
        <f>=HYPERLINK("https://www.leilaoonline.net/lote/detalhe/171104", " Disjuntores caixa moldada diversas marcas Moeller, WEG, Tembre, AK, Siemens, Cutler-Hammer, GE - todos 400A - 11 peças - Total de amperes 4400")</f>
      </c>
      <c r="C64" s="4" t="inlineStr">
        <is>
          <t>Não vendido</t>
        </is>
      </c>
      <c r="D64" s="4" t="inlineStr">
        <is>
          <t>0</t>
        </is>
      </c>
      <c r="E64" s="5" t="inlineStr">
        <is>
          <t>7.000,00</t>
        </is>
      </c>
      <c r="F64" s="4" t="inlineStr">
        <is>
          <t>250.00</t>
        </is>
      </c>
    </row>
    <row collapsed="false" customFormat="false" customHeight="false" hidden="false" ht="12.1" outlineLevel="0" r="65">
      <c r="A65" s="5" t="s">
        <f>=HYPERLINK("https://www.leilaoonline.net/lote/detalhe/171100", "054")</f>
      </c>
      <c r="B65" s="4" t="s">
        <f>=HYPERLINK("https://www.leilaoonline.net/lote/detalhe/171100", " Disjuntores caixa moldada Siemens modelo 3VT3 630A 1 peça KA40, Modelo VL230 200A KA 65 2 Peças, Modelo VL 400 400A KA 65 1 peça - Modelo 3VT - TVT 250n 250A KA 35 1 peça, Modelo VF100 50A KA 65 1 peça - Total de amperes 1730 - Total 6 peças")</f>
      </c>
      <c r="C65" s="4" t="inlineStr">
        <is>
          <t>Não vendido</t>
        </is>
      </c>
      <c r="D65" s="4" t="inlineStr">
        <is>
          <t>0</t>
        </is>
      </c>
      <c r="E65" s="5" t="inlineStr">
        <is>
          <t>3.200,00</t>
        </is>
      </c>
      <c r="F65" s="4" t="inlineStr">
        <is>
          <t>250.00</t>
        </is>
      </c>
    </row>
    <row collapsed="false" customFormat="false" customHeight="false" hidden="false" ht="12.1" outlineLevel="0" r="66">
      <c r="A66" s="5" t="s">
        <f>=HYPERLINK("https://www.leilaoonline.net/lote/detalhe/171101", "055")</f>
      </c>
      <c r="B66" s="4" t="s">
        <f>=HYPERLINK("https://www.leilaoonline.net/lote/detalhe/171101", " Disjuntores caixa moldada diversas marcas amperagens SF 800A 1 peça, 600A 1 peça, 185A 1 peça 350A 3 peças, 250A 1 peça, 300A 2 peças - Total de amperes 3485 - Total 9 peças")</f>
      </c>
      <c r="C66" s="4" t="inlineStr">
        <is>
          <t>Não vendido</t>
        </is>
      </c>
      <c r="D66" s="4" t="inlineStr">
        <is>
          <t>0</t>
        </is>
      </c>
      <c r="E66" s="5" t="inlineStr">
        <is>
          <t>4.500,00</t>
        </is>
      </c>
      <c r="F66" s="4" t="inlineStr">
        <is>
          <t>250.00</t>
        </is>
      </c>
    </row>
    <row collapsed="false" customFormat="false" customHeight="false" hidden="false" ht="12.1" outlineLevel="0" r="67">
      <c r="A67" s="5" t="s">
        <f>=HYPERLINK("https://www.leilaoonline.net/lote/detalhe/171105", "056")</f>
      </c>
      <c r="B67" s="4" t="s">
        <f>=HYPERLINK("https://www.leilaoonline.net/lote/detalhe/171105", " Disjuntores caixa moldada diversas marcas e amperagens - 400A 3 peças, 800A 2 peças, 600A 2 peças - Total de amperagens 4000A - Total 7 peças")</f>
      </c>
      <c r="C67" s="4" t="inlineStr">
        <is>
          <t>Não vendido</t>
        </is>
      </c>
      <c r="D67" s="4" t="inlineStr">
        <is>
          <t>0</t>
        </is>
      </c>
      <c r="E67" s="5" t="inlineStr">
        <is>
          <t>7.000,00</t>
        </is>
      </c>
      <c r="F67" s="4" t="inlineStr">
        <is>
          <t>250.00</t>
        </is>
      </c>
    </row>
    <row collapsed="false" customFormat="false" customHeight="false" hidden="false" ht="12.1" outlineLevel="0" r="68">
      <c r="A68" s="5" t="s">
        <f>=HYPERLINK("https://www.leilaoonline.net/lote/detalhe/171108", "057")</f>
      </c>
      <c r="B68" s="4" t="s">
        <f>=HYPERLINK("https://www.leilaoonline.net/lote/detalhe/171108", " Disjuntores caixa moldada diversas marcas e amperagens - 800A 3 peças, 250A 6 peças, 400A 2 peças, 500A 1 peça, 630A 1 peça - Total de amperagens 5.830 - Total de peças 13")</f>
      </c>
      <c r="C68" s="4" t="inlineStr">
        <is>
          <t>Não vendido</t>
        </is>
      </c>
      <c r="D68" s="4" t="inlineStr">
        <is>
          <t>0</t>
        </is>
      </c>
      <c r="E68" s="5" t="inlineStr">
        <is>
          <t>6.500,00</t>
        </is>
      </c>
      <c r="F68" s="4" t="inlineStr">
        <is>
          <t>250.00</t>
        </is>
      </c>
    </row>
    <row collapsed="false" customFormat="false" customHeight="false" hidden="false" ht="12.1" outlineLevel="0" r="69">
      <c r="A69" s="5" t="s">
        <f>=HYPERLINK("https://www.leilaoonline.net/lote/detalhe/171107", "058")</f>
      </c>
      <c r="B69" s="4" t="s">
        <f>=HYPERLINK("https://www.leilaoonline.net/lote/detalhe/171107", " Disjuntores caixa moldada WEG modelo DW 1600 1600A - KA 65 1 peça")</f>
      </c>
      <c r="C69" s="4" t="inlineStr">
        <is>
          <t>Não vendido</t>
        </is>
      </c>
      <c r="D69" s="4" t="inlineStr">
        <is>
          <t>0</t>
        </is>
      </c>
      <c r="E69" s="5" t="inlineStr">
        <is>
          <t>3.000,00</t>
        </is>
      </c>
      <c r="F69" s="4" t="inlineStr">
        <is>
          <t>250.00</t>
        </is>
      </c>
    </row>
    <row collapsed="false" customFormat="false" customHeight="false" hidden="false" ht="12.1" outlineLevel="0" r="70">
      <c r="A70" s="5" t="s">
        <f>=HYPERLINK("https://www.leilaoonline.net/lote/detalhe/171106", "059")</f>
      </c>
      <c r="B70" s="4" t="s">
        <f>=HYPERLINK("https://www.leilaoonline.net/lote/detalhe/171106", " Disjuntores caixa moldada Tembreak modelo XS 1600 NE 1.600A KA125 1 peça - Modelo XS630N5 630A KA 85 1 peça - Total de amperes 2230 - Total 2 peça")</f>
      </c>
      <c r="C70" s="4" t="inlineStr">
        <is>
          <t>Não vendido</t>
        </is>
      </c>
      <c r="D70" s="4" t="inlineStr">
        <is>
          <t>0</t>
        </is>
      </c>
      <c r="E70" s="5" t="inlineStr">
        <is>
          <t>4.000,00</t>
        </is>
      </c>
      <c r="F70" s="4" t="inlineStr">
        <is>
          <t>250.00</t>
        </is>
      </c>
    </row>
    <row collapsed="false" customFormat="false" customHeight="false" hidden="false" ht="12.1" outlineLevel="0" r="71">
      <c r="A71" s="5" t="s">
        <f>=HYPERLINK("https://www.leilaoonline.net/lote/detalhe/171110", "060")</f>
      </c>
      <c r="B71" s="4" t="s">
        <f>=HYPERLINK("https://www.leilaoonline.net/lote/detalhe/171110", " Chaves seccionadora sob carga - Marca ABB - Modelo OETL 630 K5 630A 2 peças")</f>
      </c>
      <c r="C71" s="4" t="inlineStr">
        <is>
          <t>Não vendido</t>
        </is>
      </c>
      <c r="D71" s="4" t="inlineStr">
        <is>
          <t>0</t>
        </is>
      </c>
      <c r="E71" s="5" t="inlineStr">
        <is>
          <t>2.000,00</t>
        </is>
      </c>
      <c r="F71" s="4" t="inlineStr">
        <is>
          <t>250.00</t>
        </is>
      </c>
    </row>
    <row collapsed="false" customFormat="false" customHeight="false" hidden="false" ht="12.1" outlineLevel="0" r="72">
      <c r="A72" s="5" t="s">
        <f>=HYPERLINK("https://www.leilaoonline.net/lote/detalhe/171109", "061")</f>
      </c>
      <c r="B72" s="4" t="s">
        <f>=HYPERLINK("https://www.leilaoonline.net/lote/detalhe/171109", " Chaves seccionadora sob carga - Marca ABB - Modelo OETL 630 K5 630A 2 peças")</f>
      </c>
      <c r="C72" s="4" t="inlineStr">
        <is>
          <t>Não vendido</t>
        </is>
      </c>
      <c r="D72" s="4" t="inlineStr">
        <is>
          <t>0</t>
        </is>
      </c>
      <c r="E72" s="5" t="inlineStr">
        <is>
          <t>2.000,00</t>
        </is>
      </c>
      <c r="F72" s="4" t="inlineStr">
        <is>
          <t>250.00</t>
        </is>
      </c>
    </row>
    <row collapsed="false" customFormat="false" customHeight="false" hidden="false" ht="12.1" outlineLevel="0" r="73">
      <c r="A73" s="5" t="s">
        <f>=HYPERLINK("https://www.leilaoonline.net/lote/detalhe/171111", "062")</f>
      </c>
      <c r="B73" s="4" t="s">
        <f>=HYPERLINK("https://www.leilaoonline.net/lote/detalhe/171111", " Chaves seccionadora sob carga - Marca ABB - Modelo OETL 630 K5 630A 1 peça")</f>
      </c>
      <c r="C73" s="4" t="inlineStr">
        <is>
          <t>Não vendido</t>
        </is>
      </c>
      <c r="D73" s="4" t="inlineStr">
        <is>
          <t>0</t>
        </is>
      </c>
      <c r="E73" s="5" t="inlineStr">
        <is>
          <t>900,00</t>
        </is>
      </c>
      <c r="F73" s="4" t="inlineStr">
        <is>
          <t>150.00</t>
        </is>
      </c>
    </row>
    <row collapsed="false" customFormat="false" customHeight="false" hidden="false" ht="12.1" outlineLevel="0" r="74">
      <c r="A74" s="5" t="s">
        <f>=HYPERLINK("https://www.leilaoonline.net/lote/detalhe/171112", "063")</f>
      </c>
      <c r="B74" s="4" t="s">
        <f>=HYPERLINK("https://www.leilaoonline.net/lote/detalhe/171112", " Transformador de corrente Siemens Diversas amperagens - 42 peças")</f>
      </c>
      <c r="C74" s="4" t="inlineStr">
        <is>
          <t>Não vendido</t>
        </is>
      </c>
      <c r="D74" s="4" t="inlineStr">
        <is>
          <t>0</t>
        </is>
      </c>
      <c r="E74" s="5" t="inlineStr">
        <is>
          <t>1.100,00</t>
        </is>
      </c>
      <c r="F74" s="4" t="inlineStr">
        <is>
          <t>150.00</t>
        </is>
      </c>
    </row>
    <row collapsed="false" customFormat="false" customHeight="false" hidden="false" ht="12.1" outlineLevel="0" r="75">
      <c r="A75" s="5" t="s">
        <f>=HYPERLINK("https://www.leilaoonline.net/lote/detalhe/171113", "064")</f>
      </c>
      <c r="B75" s="4" t="s">
        <f>=HYPERLINK("https://www.leilaoonline.net/lote/detalhe/171113", " Transformador de corrente - Marca Instrumenti - Diversas amperagens- 20 peças")</f>
      </c>
      <c r="C75" s="4" t="inlineStr">
        <is>
          <t>Não vendido</t>
        </is>
      </c>
      <c r="D75" s="4" t="inlineStr">
        <is>
          <t>0</t>
        </is>
      </c>
      <c r="E75" s="5" t="inlineStr">
        <is>
          <t>800,00</t>
        </is>
      </c>
      <c r="F75" s="4" t="inlineStr">
        <is>
          <t>150.00</t>
        </is>
      </c>
    </row>
    <row collapsed="false" customFormat="false" customHeight="false" hidden="false" ht="12.1" outlineLevel="0" r="76">
      <c r="A76" s="5" t="s">
        <f>=HYPERLINK("https://www.leilaoonline.net/lote/detalhe/171115", "065")</f>
      </c>
      <c r="B76" s="4" t="s">
        <f>=HYPERLINK("https://www.leilaoonline.net/lote/detalhe/171115", " Transformador de corrente - Marca Kron - Diversas amperagens- 16 peças")</f>
      </c>
      <c r="C76" s="4" t="inlineStr">
        <is>
          <t>Não vendido</t>
        </is>
      </c>
      <c r="D76" s="4" t="inlineStr">
        <is>
          <t>0</t>
        </is>
      </c>
      <c r="E76" s="5" t="inlineStr">
        <is>
          <t>700,00</t>
        </is>
      </c>
      <c r="F76" s="4" t="inlineStr">
        <is>
          <t>150.00</t>
        </is>
      </c>
    </row>
    <row collapsed="false" customFormat="false" customHeight="false" hidden="false" ht="12.1" outlineLevel="0" r="77">
      <c r="A77" s="5" t="s">
        <f>=HYPERLINK("https://www.leilaoonline.net/lote/detalhe/171117", "066")</f>
      </c>
      <c r="B77" s="4" t="s">
        <f>=HYPERLINK("https://www.leilaoonline.net/lote/detalhe/171117", " Transformador de corrente - Marca Kron - Diversas amperagens - 11 peças")</f>
      </c>
      <c r="C77" s="4" t="inlineStr">
        <is>
          <t>Não vendido</t>
        </is>
      </c>
      <c r="D77" s="4" t="inlineStr">
        <is>
          <t>0</t>
        </is>
      </c>
      <c r="E77" s="5" t="inlineStr">
        <is>
          <t>700,00</t>
        </is>
      </c>
      <c r="F77" s="4" t="inlineStr">
        <is>
          <t>150.00</t>
        </is>
      </c>
    </row>
    <row collapsed="false" customFormat="false" customHeight="false" hidden="false" ht="12.1" outlineLevel="0" r="78">
      <c r="A78" s="5" t="s">
        <f>=HYPERLINK("https://www.leilaoonline.net/lote/detalhe/171114", "067")</f>
      </c>
      <c r="B78" s="4" t="s">
        <f>=HYPERLINK("https://www.leilaoonline.net/lote/detalhe/171114", " Disjuntor caixa moldada - Marca Moeller - Modelo NZM4 1000A - 1 peça")</f>
      </c>
      <c r="C78" s="4" t="inlineStr">
        <is>
          <t>Não vendido</t>
        </is>
      </c>
      <c r="D78" s="4" t="inlineStr">
        <is>
          <t>0</t>
        </is>
      </c>
      <c r="E78" s="5" t="inlineStr">
        <is>
          <t>3.000,00</t>
        </is>
      </c>
      <c r="F78" s="4" t="inlineStr">
        <is>
          <t>250.00</t>
        </is>
      </c>
    </row>
    <row collapsed="false" customFormat="false" customHeight="false" hidden="false" ht="12.1" outlineLevel="0" r="79">
      <c r="A79" s="5" t="s">
        <f>=HYPERLINK("https://www.leilaoonline.net/lote/detalhe/171116", "068")</f>
      </c>
      <c r="B79" s="4" t="s">
        <f>=HYPERLINK("https://www.leilaoonline.net/lote/detalhe/171116", " Disjuntor caixa moldada - Marca Moeller - Modelo NZM4 1250A - 1 peça")</f>
      </c>
      <c r="C79" s="4" t="inlineStr">
        <is>
          <t>Não vendido</t>
        </is>
      </c>
      <c r="D79" s="4" t="inlineStr">
        <is>
          <t>0</t>
        </is>
      </c>
      <c r="E79" s="5" t="inlineStr">
        <is>
          <t>4.500,00</t>
        </is>
      </c>
      <c r="F79" s="4" t="inlineStr">
        <is>
          <t>250.00</t>
        </is>
      </c>
    </row>
    <row collapsed="false" customFormat="false" customHeight="false" hidden="false" ht="12.1" outlineLevel="0" r="80">
      <c r="A80" s="5" t="s">
        <f>=HYPERLINK("https://www.leilaoonline.net/lote/detalhe/171119", "069")</f>
      </c>
      <c r="B80" s="4" t="s">
        <f>=HYPERLINK("https://www.leilaoonline.net/lote/detalhe/171119", " Transformador de corrente - Marca Kron - Diversas amperagens - 132 peças")</f>
      </c>
      <c r="C80" s="4" t="inlineStr">
        <is>
          <t>Não vendido</t>
        </is>
      </c>
      <c r="D80" s="4" t="inlineStr">
        <is>
          <t>0</t>
        </is>
      </c>
      <c r="E80" s="5" t="inlineStr">
        <is>
          <t>3.000,00</t>
        </is>
      </c>
      <c r="F80" s="4" t="inlineStr">
        <is>
          <t>250.00</t>
        </is>
      </c>
    </row>
    <row collapsed="false" customFormat="false" customHeight="false" hidden="false" ht="12.1" outlineLevel="0" r="81">
      <c r="A81" s="5" t="s">
        <f>=HYPERLINK("https://www.leilaoonline.net/lote/detalhe/171118", "070")</f>
      </c>
      <c r="B81" s="4" t="s">
        <f>=HYPERLINK("https://www.leilaoonline.net/lote/detalhe/171118", " Contator de estado sólido - Marca: Siemens COD: 3RF2320-1AA04 com base de carga de monitoramento COD: 3RF2920-0FA08 - 90 peças")</f>
      </c>
      <c r="C81" s="4" t="inlineStr">
        <is>
          <t>Não vendido</t>
        </is>
      </c>
      <c r="D81" s="4" t="inlineStr">
        <is>
          <t>0</t>
        </is>
      </c>
      <c r="E81" s="5" t="inlineStr">
        <is>
          <t>12.000,00</t>
        </is>
      </c>
      <c r="F81" s="4" t="inlineStr">
        <is>
          <t>250.00</t>
        </is>
      </c>
    </row>
    <row collapsed="false" customFormat="false" customHeight="false" hidden="false" ht="12.1" outlineLevel="0" r="82">
      <c r="A82" s="5" t="s">
        <f>=HYPERLINK("https://www.leilaoonline.net/lote/detalhe/171121", "071")</f>
      </c>
      <c r="B82" s="4" t="s">
        <f>=HYPERLINK("https://www.leilaoonline.net/lote/detalhe/171121", " Expansão de contato - Modelo(1) E1T-05 - Jokab Safety 24 VDC - 20 peças - Modelo(2) Pluto AS-i V2 PLC de segurança - 3 peças - Total de peças 23")</f>
      </c>
      <c r="C82" s="4" t="inlineStr">
        <is>
          <t>Não vendido</t>
        </is>
      </c>
      <c r="D82" s="4" t="inlineStr">
        <is>
          <t>0</t>
        </is>
      </c>
      <c r="E82" s="5" t="inlineStr">
        <is>
          <t>2.500,00</t>
        </is>
      </c>
      <c r="F82" s="4" t="inlineStr">
        <is>
          <t>250.00</t>
        </is>
      </c>
    </row>
    <row collapsed="false" customFormat="false" customHeight="false" hidden="false" ht="12.1" outlineLevel="0" r="83">
      <c r="A83" s="5" t="s">
        <f>=HYPERLINK("https://www.leilaoonline.net/lote/detalhe/171123", "072")</f>
      </c>
      <c r="B83" s="4" t="s">
        <f>=HYPERLINK("https://www.leilaoonline.net/lote/detalhe/171123", " Relê de segurança para emergência 24 VCC Schneider com diversas amperagens e Telemecanique Schneider XPS AC Telemecanique TVPE XPS AC - 11 peças")</f>
      </c>
      <c r="C83" s="4" t="inlineStr">
        <is>
          <t>Não vendido</t>
        </is>
      </c>
      <c r="D83" s="4" t="inlineStr">
        <is>
          <t>0</t>
        </is>
      </c>
      <c r="E83" s="5" t="inlineStr">
        <is>
          <t>1.200,00</t>
        </is>
      </c>
      <c r="F83" s="4" t="inlineStr">
        <is>
          <t>150.00</t>
        </is>
      </c>
    </row>
    <row collapsed="false" customFormat="false" customHeight="false" hidden="false" ht="12.1" outlineLevel="0" r="84">
      <c r="A84" s="5" t="s">
        <f>=HYPERLINK("https://www.leilaoonline.net/lote/detalhe/171124", "073")</f>
      </c>
      <c r="B84" s="4" t="s">
        <f>=HYPERLINK("https://www.leilaoonline.net/lote/detalhe/171124", " Disjuntor DPS CLA MPER, CSG - Diversos KA e Diversos SCL Voltagens - 38 peças")</f>
      </c>
      <c r="C84" s="4" t="inlineStr">
        <is>
          <t>Não vendido</t>
        </is>
      </c>
      <c r="D84" s="4" t="inlineStr">
        <is>
          <t>0</t>
        </is>
      </c>
      <c r="E84" s="5" t="inlineStr">
        <is>
          <t>400,00</t>
        </is>
      </c>
      <c r="F84" s="4" t="inlineStr">
        <is>
          <t>150.00</t>
        </is>
      </c>
    </row>
    <row collapsed="false" customFormat="false" customHeight="false" hidden="false" ht="12.1" outlineLevel="0" r="85">
      <c r="A85" s="5" t="s">
        <f>=HYPERLINK("https://www.leilaoonline.net/lote/detalhe/171120", "074")</f>
      </c>
      <c r="B85" s="4" t="s">
        <f>=HYPERLINK("https://www.leilaoonline.net/lote/detalhe/171120", " Stars Elektronik GMBH - Modelo D-82319 Starn Berg GWS - 2.05G - 10 peças")</f>
      </c>
      <c r="C85" s="4" t="inlineStr">
        <is>
          <t>Não vendido</t>
        </is>
      </c>
      <c r="D85" s="4" t="inlineStr">
        <is>
          <t>0</t>
        </is>
      </c>
      <c r="E85" s="5" t="inlineStr">
        <is>
          <t>500,00</t>
        </is>
      </c>
      <c r="F85" s="4" t="inlineStr">
        <is>
          <t>150.00</t>
        </is>
      </c>
    </row>
    <row collapsed="false" customFormat="false" customHeight="false" hidden="false" ht="12.1" outlineLevel="0" r="86">
      <c r="A86" s="5" t="s">
        <f>=HYPERLINK("https://www.leilaoonline.net/lote/detalhe/171122", "075")</f>
      </c>
      <c r="B86" s="4" t="s">
        <f>=HYPERLINK("https://www.leilaoonline.net/lote/detalhe/171122", " Diversos modelos de relés Marca Coel - 43 peças")</f>
      </c>
      <c r="C86" s="4" t="inlineStr">
        <is>
          <t>Não vendido</t>
        </is>
      </c>
      <c r="D86" s="4" t="inlineStr">
        <is>
          <t>0</t>
        </is>
      </c>
      <c r="E86" s="5" t="inlineStr">
        <is>
          <t>1.000,00</t>
        </is>
      </c>
      <c r="F86" s="4" t="inlineStr">
        <is>
          <t>150.00</t>
        </is>
      </c>
    </row>
    <row collapsed="false" customFormat="false" customHeight="false" hidden="false" ht="12.1" outlineLevel="0" r="87">
      <c r="A87" s="5" t="s">
        <f>=HYPERLINK("https://www.leilaoonline.net/lote/detalhe/171125", "076")</f>
      </c>
      <c r="B87" s="4" t="s">
        <f>=HYPERLINK("https://www.leilaoonline.net/lote/detalhe/171125", " Transdutor ETM50 RMS marca ABB código N00399261365C Class 0,50%, entrada 0...380 VAC 60 hz saída 0...10 VDC ( 61)(-62) UAUX: 85...265 VAC/90...300VDC - 56 peças")</f>
      </c>
      <c r="C87" s="4" t="inlineStr">
        <is>
          <t>Não vendido</t>
        </is>
      </c>
      <c r="D87" s="4" t="inlineStr">
        <is>
          <t>0</t>
        </is>
      </c>
      <c r="E87" s="5" t="inlineStr">
        <is>
          <t>5.600,00</t>
        </is>
      </c>
      <c r="F87" s="4" t="inlineStr">
        <is>
          <t>250.00</t>
        </is>
      </c>
    </row>
    <row collapsed="false" customFormat="false" customHeight="false" hidden="false" ht="12.1" outlineLevel="0" r="88">
      <c r="A88" s="5" t="s">
        <f>=HYPERLINK("https://www.leilaoonline.net/lote/detalhe/171128", "077")</f>
      </c>
      <c r="B88" s="4" t="s">
        <f>=HYPERLINK("https://www.leilaoonline.net/lote/detalhe/171128", " Relê Interf ABB Modelo CR-P230AC2 Cod: 15 VR 405 650 R0000 Base CR-PLS ABB - 20 peças")</f>
      </c>
      <c r="C88" s="4" t="inlineStr">
        <is>
          <t>Não vendido</t>
        </is>
      </c>
      <c r="D88" s="4" t="inlineStr">
        <is>
          <t>0</t>
        </is>
      </c>
      <c r="E88" s="5" t="inlineStr">
        <is>
          <t>400,00</t>
        </is>
      </c>
      <c r="F88" s="4" t="inlineStr">
        <is>
          <t>150.00</t>
        </is>
      </c>
    </row>
    <row collapsed="false" customFormat="false" customHeight="false" hidden="false" ht="12.1" outlineLevel="0" r="89">
      <c r="A89" s="5" t="s">
        <f>=HYPERLINK("https://www.leilaoonline.net/lote/detalhe/171126", "078")</f>
      </c>
      <c r="B89" s="4" t="s">
        <f>=HYPERLINK("https://www.leilaoonline.net/lote/detalhe/171126", " Diversos tipos, marcas e amperagens de relé - 51 peças")</f>
      </c>
      <c r="C89" s="4" t="inlineStr">
        <is>
          <t>Não vendido</t>
        </is>
      </c>
      <c r="D89" s="4" t="inlineStr">
        <is>
          <t>0</t>
        </is>
      </c>
      <c r="E89" s="5" t="inlineStr">
        <is>
          <t>2.500,00</t>
        </is>
      </c>
      <c r="F89" s="4" t="inlineStr">
        <is>
          <t>250.00</t>
        </is>
      </c>
    </row>
    <row collapsed="false" customFormat="false" customHeight="false" hidden="false" ht="12.1" outlineLevel="0" r="90">
      <c r="A90" s="5" t="s">
        <f>=HYPERLINK("https://www.leilaoonline.net/lote/detalhe/171129", "079")</f>
      </c>
      <c r="B90" s="4" t="s">
        <f>=HYPERLINK("https://www.leilaoonline.net/lote/detalhe/171129", " Relé de temporização Moeller Modelo: ETR4-51-A AC 24...240V 50/60 hertz DC 24...240V 3...605 50MS - 9 peças")</f>
      </c>
      <c r="C90" s="4" t="inlineStr">
        <is>
          <t>Não vendido</t>
        </is>
      </c>
      <c r="D90" s="4" t="inlineStr">
        <is>
          <t>0</t>
        </is>
      </c>
      <c r="E90" s="5" t="inlineStr">
        <is>
          <t>1.000,00</t>
        </is>
      </c>
      <c r="F90" s="4" t="inlineStr">
        <is>
          <t>150.00</t>
        </is>
      </c>
    </row>
    <row collapsed="false" customFormat="false" customHeight="false" hidden="false" ht="12.1" outlineLevel="0" r="91">
      <c r="A91" s="5" t="s">
        <f>=HYPERLINK("https://www.leilaoonline.net/lote/detalhe/171127", "080")</f>
      </c>
      <c r="B91" s="4" t="s">
        <f>=HYPERLINK("https://www.leilaoonline.net/lote/detalhe/171127", " Relés eletromecânico diversas marcas e voltagens - 76 peças")</f>
      </c>
      <c r="C91" s="4" t="inlineStr">
        <is>
          <t>Não vendido</t>
        </is>
      </c>
      <c r="D91" s="4" t="inlineStr">
        <is>
          <t>0</t>
        </is>
      </c>
      <c r="E91" s="5" t="inlineStr">
        <is>
          <t>1.500,00</t>
        </is>
      </c>
      <c r="F91" s="4" t="inlineStr">
        <is>
          <t>150.00</t>
        </is>
      </c>
    </row>
    <row collapsed="false" customFormat="false" customHeight="false" hidden="false" ht="12.1" outlineLevel="0" r="92">
      <c r="A92" s="5" t="s">
        <f>=HYPERLINK("https://www.leilaoonline.net/lote/detalhe/171131", "081")</f>
      </c>
      <c r="B92" s="4" t="s">
        <f>=HYPERLINK("https://www.leilaoonline.net/lote/detalhe/171131", " Diversos tipos, marcas, modelos e amperagens de relés - 30 peças")</f>
      </c>
      <c r="C92" s="4" t="inlineStr">
        <is>
          <t>Não vendido</t>
        </is>
      </c>
      <c r="D92" s="4" t="inlineStr">
        <is>
          <t>0</t>
        </is>
      </c>
      <c r="E92" s="5" t="inlineStr">
        <is>
          <t>300,00</t>
        </is>
      </c>
      <c r="F92" s="4" t="inlineStr">
        <is>
          <t>150.00</t>
        </is>
      </c>
    </row>
    <row collapsed="false" customFormat="false" customHeight="false" hidden="false" ht="12.1" outlineLevel="0" r="93">
      <c r="A93" s="5" t="s">
        <f>=HYPERLINK("https://www.leilaoonline.net/lote/detalhe/171133", "082")</f>
      </c>
      <c r="B93" s="4" t="s">
        <f>=HYPERLINK("https://www.leilaoonline.net/lote/detalhe/171133", " Amperímetro medidor de corrente digital diversas marcas, modelos e amperagens- 42 peças")</f>
      </c>
      <c r="C93" s="4" t="inlineStr">
        <is>
          <t>Não vendido</t>
        </is>
      </c>
      <c r="D93" s="4" t="inlineStr">
        <is>
          <t>0</t>
        </is>
      </c>
      <c r="E93" s="5" t="inlineStr">
        <is>
          <t>1.000,00</t>
        </is>
      </c>
      <c r="F93" s="4" t="inlineStr">
        <is>
          <t>150.00</t>
        </is>
      </c>
    </row>
    <row collapsed="false" customFormat="false" customHeight="false" hidden="false" ht="12.1" outlineLevel="0" r="94">
      <c r="A94" s="5" t="s">
        <f>=HYPERLINK("https://www.leilaoonline.net/lote/detalhe/171130", "083")</f>
      </c>
      <c r="B94" s="4" t="s">
        <f>=HYPERLINK("https://www.leilaoonline.net/lote/detalhe/171130", " Cooler Ventoinha diversas marcas, modelos, amperagens e tamanhos - 61 peças")</f>
      </c>
      <c r="C94" s="4" t="inlineStr">
        <is>
          <t>Não vendido</t>
        </is>
      </c>
      <c r="D94" s="4" t="inlineStr">
        <is>
          <t>0</t>
        </is>
      </c>
      <c r="E94" s="5" t="inlineStr">
        <is>
          <t>1.500,00</t>
        </is>
      </c>
      <c r="F94" s="4" t="inlineStr">
        <is>
          <t>150.00</t>
        </is>
      </c>
    </row>
    <row collapsed="false" customFormat="false" customHeight="false" hidden="false" ht="12.1" outlineLevel="0" r="95">
      <c r="A95" s="5" t="s">
        <f>=HYPERLINK("https://www.leilaoonline.net/lote/detalhe/171135", "084")</f>
      </c>
      <c r="B95" s="4" t="s">
        <f>=HYPERLINK("https://www.leilaoonline.net/lote/detalhe/171135", " Amperímetro medidor de corrente digital marca INI KRON Modelo(1) FM96 30CV Escala/Campo de medição 1A Q-16266 - 21 peças - Modelo(2) 065-004-0012 marca Roxline sem rolamento - 9 peças - Total de peças 30")</f>
      </c>
      <c r="C95" s="4" t="inlineStr">
        <is>
          <t>Não vendido</t>
        </is>
      </c>
      <c r="D95" s="4" t="inlineStr">
        <is>
          <t>0</t>
        </is>
      </c>
      <c r="E95" s="5" t="inlineStr">
        <is>
          <t>950,00</t>
        </is>
      </c>
      <c r="F95" s="4" t="inlineStr">
        <is>
          <t>150.00</t>
        </is>
      </c>
    </row>
    <row collapsed="false" customFormat="false" customHeight="false" hidden="false" ht="12.1" outlineLevel="0" r="96">
      <c r="A96" s="5" t="s">
        <f>=HYPERLINK("https://www.leilaoonline.net/lote/detalhe/171132", "085")</f>
      </c>
      <c r="B96" s="4" t="s">
        <f>=HYPERLINK("https://www.leilaoonline.net/lote/detalhe/171132", " Termostato step go para resfriamento modelo KTS 011 Cod: 011410-00 0 a 60⁰C - 51 peças")</f>
      </c>
      <c r="C96" s="4" t="inlineStr">
        <is>
          <t>Não vendido</t>
        </is>
      </c>
      <c r="D96" s="4" t="inlineStr">
        <is>
          <t>0</t>
        </is>
      </c>
      <c r="E96" s="5" t="inlineStr">
        <is>
          <t>2.000,00</t>
        </is>
      </c>
      <c r="F96" s="4" t="inlineStr">
        <is>
          <t>150.00</t>
        </is>
      </c>
    </row>
    <row collapsed="false" customFormat="false" customHeight="false" hidden="false" ht="12.1" outlineLevel="0" r="97">
      <c r="A97" s="5" t="s">
        <f>=HYPERLINK("https://www.leilaoonline.net/lote/detalhe/171134", "086")</f>
      </c>
      <c r="B97" s="4" t="s">
        <f>=HYPERLINK("https://www.leilaoonline.net/lote/detalhe/171134", " Ether Device Switch Metso Modelo Type: EDS 408A MM SC MNIEDS 408A MM SC (Metso) D201326 1A 8 entradas - 3 peças")</f>
      </c>
      <c r="C97" s="4" t="inlineStr">
        <is>
          <t>Não vendido</t>
        </is>
      </c>
      <c r="D97" s="4" t="inlineStr">
        <is>
          <t>0</t>
        </is>
      </c>
      <c r="E97" s="5" t="inlineStr">
        <is>
          <t>1.500,00</t>
        </is>
      </c>
      <c r="F97" s="4" t="inlineStr">
        <is>
          <t>150.00</t>
        </is>
      </c>
    </row>
    <row collapsed="false" customFormat="false" customHeight="false" hidden="false" ht="12.1" outlineLevel="0" r="98">
      <c r="A98" s="5" t="s">
        <f>=HYPERLINK("https://www.leilaoonline.net/lote/detalhe/171138", "087")</f>
      </c>
      <c r="B98" s="4" t="s">
        <f>=HYPERLINK("https://www.leilaoonline.net/lote/detalhe/171138", " Controlador para válvula de expansão eletrônica Carel Marca e EVD Evolution Carel Modelo EVD000E20 Modelo do display EVDIS00PTO Carel - 5 peças")</f>
      </c>
      <c r="C98" s="4" t="inlineStr">
        <is>
          <t>Não vendido</t>
        </is>
      </c>
      <c r="D98" s="4" t="inlineStr">
        <is>
          <t>0</t>
        </is>
      </c>
      <c r="E98" s="5" t="inlineStr">
        <is>
          <t>1.000,00</t>
        </is>
      </c>
      <c r="F98" s="4" t="inlineStr">
        <is>
          <t>150.00</t>
        </is>
      </c>
    </row>
    <row collapsed="false" customFormat="false" customHeight="false" hidden="false" ht="12.1" outlineLevel="0" r="99">
      <c r="A99" s="5" t="s">
        <f>=HYPERLINK("https://www.leilaoonline.net/lote/detalhe/171136", "088")</f>
      </c>
      <c r="B99" s="4" t="s">
        <f>=HYPERLINK("https://www.leilaoonline.net/lote/detalhe/171136", " Microlav calibração 38 diversos modelos, software - 15 peças")</f>
      </c>
      <c r="C99" s="4" t="inlineStr">
        <is>
          <t>Não vendido</t>
        </is>
      </c>
      <c r="D99" s="4" t="inlineStr">
        <is>
          <t>0</t>
        </is>
      </c>
      <c r="E99" s="5" t="inlineStr">
        <is>
          <t>1.500,00</t>
        </is>
      </c>
      <c r="F99" s="4" t="inlineStr">
        <is>
          <t>150.00</t>
        </is>
      </c>
    </row>
    <row collapsed="false" customFormat="false" customHeight="false" hidden="false" ht="12.1" outlineLevel="0" r="100">
      <c r="A100" s="5" t="s">
        <f>=HYPERLINK("https://www.leilaoonline.net/lote/detalhe/171137", "089")</f>
      </c>
      <c r="B100" s="4" t="s">
        <f>=HYPERLINK("https://www.leilaoonline.net/lote/detalhe/171137", " Controlador de servo drive de 3 eixos marca Infranor - Modelo CD1-K-P3 U400 - Cod: PCD1-21AE256500 - 2 peças")</f>
      </c>
      <c r="C100" s="4" t="inlineStr">
        <is>
          <t>Não vendido</t>
        </is>
      </c>
      <c r="D100" s="4" t="inlineStr">
        <is>
          <t>0</t>
        </is>
      </c>
      <c r="E100" s="5" t="inlineStr">
        <is>
          <t>4.000,00</t>
        </is>
      </c>
      <c r="F100" s="4" t="inlineStr">
        <is>
          <t>250.00</t>
        </is>
      </c>
    </row>
    <row collapsed="false" customFormat="false" customHeight="false" hidden="false" ht="12.1" outlineLevel="0" r="101">
      <c r="A101" s="5" t="s">
        <f>=HYPERLINK("https://www.leilaoonline.net/lote/detalhe/171139", "090")</f>
      </c>
      <c r="B101" s="4" t="s">
        <f>=HYPERLINK("https://www.leilaoonline.net/lote/detalhe/171139", " Materiais diversos drive Moxa, Zom, Alma GD, etc - 24 peças")</f>
      </c>
      <c r="C101" s="4" t="inlineStr">
        <is>
          <t>Não vendido</t>
        </is>
      </c>
      <c r="D101" s="4" t="inlineStr">
        <is>
          <t>0</t>
        </is>
      </c>
      <c r="E101" s="5" t="inlineStr">
        <is>
          <t>1.500,00</t>
        </is>
      </c>
      <c r="F101" s="4" t="inlineStr">
        <is>
          <t>150.00</t>
        </is>
      </c>
    </row>
    <row collapsed="false" customFormat="false" customHeight="false" hidden="false" ht="12.1" outlineLevel="0" r="102">
      <c r="A102" s="5" t="s">
        <f>=HYPERLINK("https://www.leilaoonline.net/lote/detalhe/171142", "091")</f>
      </c>
      <c r="B102" s="4" t="s">
        <f>=HYPERLINK("https://www.leilaoonline.net/lote/detalhe/171142", " CPL com fonte - Metso")</f>
      </c>
      <c r="C102" s="4" t="inlineStr">
        <is>
          <t>Não vendido</t>
        </is>
      </c>
      <c r="D102" s="4" t="inlineStr">
        <is>
          <t>0</t>
        </is>
      </c>
      <c r="E102" s="5" t="inlineStr">
        <is>
          <t>3.000,00</t>
        </is>
      </c>
      <c r="F102" s="4" t="inlineStr">
        <is>
          <t>250.00</t>
        </is>
      </c>
    </row>
    <row collapsed="false" customFormat="false" customHeight="false" hidden="false" ht="12.1" outlineLevel="0" r="103">
      <c r="A103" s="5" t="s">
        <f>=HYPERLINK("https://www.leilaoonline.net/lote/detalhe/171140", "092")</f>
      </c>
      <c r="B103" s="4" t="s">
        <f>=HYPERLINK("https://www.leilaoonline.net/lote/detalhe/171140", " Fusível Siemens 800A modelo 3NE3-388-8 com base unipolar - KA 50 - Sitor - 3 peças")</f>
      </c>
      <c r="C103" s="4" t="inlineStr">
        <is>
          <t>Não vendido</t>
        </is>
      </c>
      <c r="D103" s="4" t="inlineStr">
        <is>
          <t>0</t>
        </is>
      </c>
      <c r="E103" s="5" t="inlineStr">
        <is>
          <t>600,00</t>
        </is>
      </c>
      <c r="F103" s="4" t="inlineStr">
        <is>
          <t>150.00</t>
        </is>
      </c>
    </row>
    <row collapsed="false" customFormat="false" customHeight="false" hidden="false" ht="12.1" outlineLevel="0" r="104">
      <c r="A104" s="5" t="s">
        <f>=HYPERLINK("https://www.leilaoonline.net/lote/detalhe/171141", "093")</f>
      </c>
      <c r="B104" s="4" t="s">
        <f>=HYPERLINK("https://www.leilaoonline.net/lote/detalhe/171141", " Fusível Siemens 800A modelo 3NE3-388-8 com base unipolar - KA 50 - Sitor - 3 peças")</f>
      </c>
      <c r="C104" s="4" t="inlineStr">
        <is>
          <t>Não vendido</t>
        </is>
      </c>
      <c r="D104" s="4" t="inlineStr">
        <is>
          <t>0</t>
        </is>
      </c>
      <c r="E104" s="5" t="inlineStr">
        <is>
          <t>600,00</t>
        </is>
      </c>
      <c r="F104" s="4" t="inlineStr">
        <is>
          <t>150.00</t>
        </is>
      </c>
    </row>
    <row collapsed="false" customFormat="false" customHeight="false" hidden="false" ht="12.1" outlineLevel="0" r="105">
      <c r="A105" s="5" t="s">
        <f>=HYPERLINK("https://www.leilaoonline.net/lote/detalhe/171143", "094")</f>
      </c>
      <c r="B105" s="4" t="s">
        <f>=HYPERLINK("https://www.leilaoonline.net/lote/detalhe/171143", " Fusível Siemens 500A modelo 3NE3-334-0B com base unipolar - KA 50 - Sitor - 3 peças")</f>
      </c>
      <c r="C105" s="4" t="inlineStr">
        <is>
          <t>Não vendido</t>
        </is>
      </c>
      <c r="D105" s="4" t="inlineStr">
        <is>
          <t>0</t>
        </is>
      </c>
      <c r="E105" s="5" t="inlineStr">
        <is>
          <t>600,00</t>
        </is>
      </c>
      <c r="F105" s="4" t="inlineStr">
        <is>
          <t>150.00</t>
        </is>
      </c>
    </row>
    <row collapsed="false" customFormat="false" customHeight="false" hidden="false" ht="12.1" outlineLevel="0" r="106">
      <c r="A106" s="5" t="s">
        <f>=HYPERLINK("https://www.leilaoonline.net/lote/detalhe/171146", "095")</f>
      </c>
      <c r="B106" s="4" t="s">
        <f>=HYPERLINK("https://www.leilaoonline.net/lote/detalhe/171146", " Fusível Siemens 500A modelo 3NE3-334-0B com base unipolar - KA 50 - Sitor - 3 peças")</f>
      </c>
      <c r="C106" s="4" t="inlineStr">
        <is>
          <t>Não vendido</t>
        </is>
      </c>
      <c r="D106" s="4" t="inlineStr">
        <is>
          <t>0</t>
        </is>
      </c>
      <c r="E106" s="5" t="inlineStr">
        <is>
          <t>600,00</t>
        </is>
      </c>
      <c r="F106" s="4" t="inlineStr">
        <is>
          <t>150.00</t>
        </is>
      </c>
    </row>
    <row collapsed="false" customFormat="false" customHeight="false" hidden="false" ht="12.1" outlineLevel="0" r="107">
      <c r="A107" s="5" t="s">
        <f>=HYPERLINK("https://www.leilaoonline.net/lote/detalhe/171144", "096")</f>
      </c>
      <c r="B107" s="4" t="s">
        <f>=HYPERLINK("https://www.leilaoonline.net/lote/detalhe/171144", " Fusível Siemens 500A modelo 3NE3-334-0B com base unipolar - KA 50 - Sitor - 3 peças")</f>
      </c>
      <c r="C107" s="4" t="inlineStr">
        <is>
          <t>Não vendido</t>
        </is>
      </c>
      <c r="D107" s="4" t="inlineStr">
        <is>
          <t>0</t>
        </is>
      </c>
      <c r="E107" s="5" t="inlineStr">
        <is>
          <t>600,00</t>
        </is>
      </c>
      <c r="F107" s="4" t="inlineStr">
        <is>
          <t>150.00</t>
        </is>
      </c>
    </row>
    <row collapsed="false" customFormat="false" customHeight="false" hidden="false" ht="12.1" outlineLevel="0" r="108">
      <c r="A108" s="5" t="s">
        <f>=HYPERLINK("https://www.leilaoonline.net/lote/detalhe/171147", "097")</f>
      </c>
      <c r="B108" s="4" t="s">
        <f>=HYPERLINK("https://www.leilaoonline.net/lote/detalhe/171147", " Fusível Siemens 500A modelo 3NE3-334-0B com base unipolar - KA 50 - Sitor - 3 peças")</f>
      </c>
      <c r="C108" s="4" t="inlineStr">
        <is>
          <t>Não vendido</t>
        </is>
      </c>
      <c r="D108" s="4" t="inlineStr">
        <is>
          <t>0</t>
        </is>
      </c>
      <c r="E108" s="5" t="inlineStr">
        <is>
          <t>600,00</t>
        </is>
      </c>
      <c r="F108" s="4" t="inlineStr">
        <is>
          <t>150.00</t>
        </is>
      </c>
    </row>
    <row collapsed="false" customFormat="false" customHeight="false" hidden="false" ht="12.1" outlineLevel="0" r="109">
      <c r="A109" s="5" t="s">
        <f>=HYPERLINK("https://www.leilaoonline.net/lote/detalhe/171145", "098")</f>
      </c>
      <c r="B109" s="4" t="s">
        <f>=HYPERLINK("https://www.leilaoonline.net/lote/detalhe/171145", " Fusível Siemens 500A modelo 3NE3-334-0B com base unipolar - KA 50 - Sitor - 3 peças")</f>
      </c>
      <c r="C109" s="4" t="inlineStr">
        <is>
          <t>Não vendido</t>
        </is>
      </c>
      <c r="D109" s="4" t="inlineStr">
        <is>
          <t>0</t>
        </is>
      </c>
      <c r="E109" s="5" t="inlineStr">
        <is>
          <t>600,00</t>
        </is>
      </c>
      <c r="F109" s="4" t="inlineStr">
        <is>
          <t>150.00</t>
        </is>
      </c>
    </row>
    <row collapsed="false" customFormat="false" customHeight="false" hidden="false" ht="12.1" outlineLevel="0" r="110">
      <c r="A110" s="5" t="s">
        <f>=HYPERLINK("https://www.leilaoonline.net/lote/detalhe/171149", "099")</f>
      </c>
      <c r="B110" s="4" t="s">
        <f>=HYPERLINK("https://www.leilaoonline.net/lote/detalhe/171149", " Fusível Siemens 500A modelo 3NE3-334-0B com base unipolar - KA 50 - Sitor - 3 peças")</f>
      </c>
      <c r="C110" s="4" t="inlineStr">
        <is>
          <t>Não vendido</t>
        </is>
      </c>
      <c r="D110" s="4" t="inlineStr">
        <is>
          <t>0</t>
        </is>
      </c>
      <c r="E110" s="5" t="inlineStr">
        <is>
          <t>600,00</t>
        </is>
      </c>
      <c r="F110" s="4" t="inlineStr">
        <is>
          <t>150.00</t>
        </is>
      </c>
    </row>
    <row collapsed="false" customFormat="false" customHeight="false" hidden="false" ht="12.1" outlineLevel="0" r="111">
      <c r="A111" s="5" t="s">
        <f>=HYPERLINK("https://www.leilaoonline.net/lote/detalhe/171148", "100")</f>
      </c>
      <c r="B111" s="4" t="s">
        <f>=HYPERLINK("https://www.leilaoonline.net/lote/detalhe/171148", " Fusível Siemens 400A modelo 3NE3-332-0B com base unipolar - KA 50 - Sitor - 3 peças")</f>
      </c>
      <c r="C111" s="4" t="inlineStr">
        <is>
          <t>Não vendido</t>
        </is>
      </c>
      <c r="D111" s="4" t="inlineStr">
        <is>
          <t>0</t>
        </is>
      </c>
      <c r="E111" s="5" t="inlineStr">
        <is>
          <t>600,00</t>
        </is>
      </c>
      <c r="F111" s="4" t="inlineStr">
        <is>
          <t>150.00</t>
        </is>
      </c>
    </row>
    <row collapsed="false" customFormat="false" customHeight="false" hidden="false" ht="12.1" outlineLevel="0" r="112">
      <c r="A112" s="5" t="s">
        <f>=HYPERLINK("https://www.leilaoonline.net/lote/detalhe/171150", "101")</f>
      </c>
      <c r="B112" s="4" t="s">
        <f>=HYPERLINK("https://www.leilaoonline.net/lote/detalhe/171150", " Fusível Siemens 400A modelo 3NE3-332-0B com base unipolar - KA 50 - Sitor - 3 peças")</f>
      </c>
      <c r="C112" s="4" t="inlineStr">
        <is>
          <t>Não vendido</t>
        </is>
      </c>
      <c r="D112" s="4" t="inlineStr">
        <is>
          <t>0</t>
        </is>
      </c>
      <c r="E112" s="5" t="inlineStr">
        <is>
          <t>600,00</t>
        </is>
      </c>
      <c r="F112" s="4" t="inlineStr">
        <is>
          <t>150.00</t>
        </is>
      </c>
    </row>
    <row collapsed="false" customFormat="false" customHeight="false" hidden="false" ht="12.1" outlineLevel="0" r="113">
      <c r="A113" s="5" t="s">
        <f>=HYPERLINK("https://www.leilaoonline.net/lote/detalhe/171155", "102")</f>
      </c>
      <c r="B113" s="4" t="s">
        <f>=HYPERLINK("https://www.leilaoonline.net/lote/detalhe/171155", " Fusível Siemens 800A 120 KA - Modelo NH4-GG com base unipolar - 3NA3 475 - 3 peças")</f>
      </c>
      <c r="C113" s="4" t="inlineStr">
        <is>
          <t>Não vendido</t>
        </is>
      </c>
      <c r="D113" s="4" t="inlineStr">
        <is>
          <t>0</t>
        </is>
      </c>
      <c r="E113" s="5" t="inlineStr">
        <is>
          <t>1.000,00</t>
        </is>
      </c>
      <c r="F113" s="4" t="inlineStr">
        <is>
          <t>150.00</t>
        </is>
      </c>
    </row>
    <row collapsed="false" customFormat="false" customHeight="false" hidden="false" ht="12.1" outlineLevel="0" r="114">
      <c r="A114" s="5" t="s">
        <f>=HYPERLINK("https://www.leilaoonline.net/lote/detalhe/171151", "103")</f>
      </c>
      <c r="B114" s="4" t="s">
        <f>=HYPERLINK("https://www.leilaoonline.net/lote/detalhe/171151", " Fusível Siemens 800A 120 KA - Modelo NH4-GG com base unipolar - 3NA3 475 - 3 peças")</f>
      </c>
      <c r="C114" s="4" t="inlineStr">
        <is>
          <t>Não vendido</t>
        </is>
      </c>
      <c r="D114" s="4" t="inlineStr">
        <is>
          <t>0</t>
        </is>
      </c>
      <c r="E114" s="5" t="inlineStr">
        <is>
          <t>1.000,00</t>
        </is>
      </c>
      <c r="F114" s="4" t="inlineStr">
        <is>
          <t>150.00</t>
        </is>
      </c>
    </row>
    <row collapsed="false" customFormat="false" customHeight="false" hidden="false" ht="12.1" outlineLevel="0" r="115">
      <c r="A115" s="5" t="s">
        <f>=HYPERLINK("https://www.leilaoonline.net/lote/detalhe/171153", "104")</f>
      </c>
      <c r="B115" s="4" t="s">
        <f>=HYPERLINK("https://www.leilaoonline.net/lote/detalhe/171153", " Fusível Siemens 1000A 120 KA - Modelo NH4-GG com base unipolar - 3NA3475 - 3 peças")</f>
      </c>
      <c r="C115" s="4" t="inlineStr">
        <is>
          <t>Não vendido</t>
        </is>
      </c>
      <c r="D115" s="4" t="inlineStr">
        <is>
          <t>0</t>
        </is>
      </c>
      <c r="E115" s="5" t="inlineStr">
        <is>
          <t>1.000,00</t>
        </is>
      </c>
      <c r="F115" s="4" t="inlineStr">
        <is>
          <t>150.00</t>
        </is>
      </c>
    </row>
    <row collapsed="false" customFormat="false" customHeight="false" hidden="false" ht="12.1" outlineLevel="0" r="116">
      <c r="A116" s="5" t="s">
        <f>=HYPERLINK("https://www.leilaoonline.net/lote/detalhe/171157", "105")</f>
      </c>
      <c r="B116" s="4" t="s">
        <f>=HYPERLINK("https://www.leilaoonline.net/lote/detalhe/171157", " Fusível Siemens 1000A 120 KA - Modelo NH4-GG com base unipolar - 3NA3475 - 3 peças")</f>
      </c>
      <c r="C116" s="4" t="inlineStr">
        <is>
          <t>Não vendido</t>
        </is>
      </c>
      <c r="D116" s="4" t="inlineStr">
        <is>
          <t>0</t>
        </is>
      </c>
      <c r="E116" s="5" t="inlineStr">
        <is>
          <t>1.000,00</t>
        </is>
      </c>
      <c r="F116" s="4" t="inlineStr">
        <is>
          <t>150.00</t>
        </is>
      </c>
    </row>
    <row collapsed="false" customFormat="false" customHeight="false" hidden="false" ht="12.1" outlineLevel="0" r="117">
      <c r="A117" s="5" t="s">
        <f>=HYPERLINK("https://www.leilaoonline.net/lote/detalhe/171152", "106")</f>
      </c>
      <c r="B117" s="4" t="s">
        <f>=HYPERLINK("https://www.leilaoonline.net/lote/detalhe/171152", " Fusível Siemens 800A 120KA - Modelo NH4-GG com base unipolar - 3NA3 475 - 3 peças")</f>
      </c>
      <c r="C117" s="4" t="inlineStr">
        <is>
          <t>Não vendido</t>
        </is>
      </c>
      <c r="D117" s="4" t="inlineStr">
        <is>
          <t>0</t>
        </is>
      </c>
      <c r="E117" s="5" t="inlineStr">
        <is>
          <t>1.000,00</t>
        </is>
      </c>
      <c r="F117" s="4" t="inlineStr">
        <is>
          <t>150.00</t>
        </is>
      </c>
    </row>
    <row collapsed="false" customFormat="false" customHeight="false" hidden="false" ht="12.1" outlineLevel="0" r="118">
      <c r="A118" s="5" t="s">
        <f>=HYPERLINK("https://www.leilaoonline.net/lote/detalhe/171154", "107")</f>
      </c>
      <c r="B118" s="4" t="s">
        <f>=HYPERLINK("https://www.leilaoonline.net/lote/detalhe/171154", " Fusível Siemens 800A 120KA - Modelo NH4-GG com base unipolar - 3NA3 475 - 3 peças")</f>
      </c>
      <c r="C118" s="4" t="inlineStr">
        <is>
          <t>Não vendido</t>
        </is>
      </c>
      <c r="D118" s="4" t="inlineStr">
        <is>
          <t>0</t>
        </is>
      </c>
      <c r="E118" s="5" t="inlineStr">
        <is>
          <t>1.000,00</t>
        </is>
      </c>
      <c r="F118" s="4" t="inlineStr">
        <is>
          <t>150.00</t>
        </is>
      </c>
    </row>
    <row collapsed="false" customFormat="false" customHeight="false" hidden="false" ht="12.1" outlineLevel="0" r="119">
      <c r="A119" s="5" t="s">
        <f>=HYPERLINK("https://www.leilaoonline.net/lote/detalhe/171158", "108")</f>
      </c>
      <c r="B119" s="4" t="s">
        <f>=HYPERLINK("https://www.leilaoonline.net/lote/detalhe/171158", " Fusível Siemens 1000A 120KA - Modelo NH4-GG com base unipolar - 3NA3 475 - 3 peças")</f>
      </c>
      <c r="C119" s="4" t="inlineStr">
        <is>
          <t>Não vendido</t>
        </is>
      </c>
      <c r="D119" s="4" t="inlineStr">
        <is>
          <t>0</t>
        </is>
      </c>
      <c r="E119" s="5" t="inlineStr">
        <is>
          <t>1.000,00</t>
        </is>
      </c>
      <c r="F119" s="4" t="inlineStr">
        <is>
          <t>150.00</t>
        </is>
      </c>
    </row>
    <row collapsed="false" customFormat="false" customHeight="false" hidden="false" ht="12.1" outlineLevel="0" r="120">
      <c r="A120" s="5" t="s">
        <f>=HYPERLINK("https://www.leilaoonline.net/lote/detalhe/171156", "109")</f>
      </c>
      <c r="B120" s="4" t="s">
        <f>=HYPERLINK("https://www.leilaoonline.net/lote/detalhe/171156", " Fusível Siemens 710A 50KA - Modelo Sitor com base unipolar - 3NE3 337-8 3 - 3 peças")</f>
      </c>
      <c r="C120" s="4" t="inlineStr">
        <is>
          <t>Não vendido</t>
        </is>
      </c>
      <c r="D120" s="4" t="inlineStr">
        <is>
          <t>0</t>
        </is>
      </c>
      <c r="E120" s="5" t="inlineStr">
        <is>
          <t>600,00</t>
        </is>
      </c>
      <c r="F120" s="4" t="inlineStr">
        <is>
          <t>150.00</t>
        </is>
      </c>
    </row>
    <row collapsed="false" customFormat="false" customHeight="false" hidden="false" ht="12.1" outlineLevel="0" r="121">
      <c r="A121" s="5" t="s">
        <f>=HYPERLINK("https://www.leilaoonline.net/lote/detalhe/171162", "110")</f>
      </c>
      <c r="B121" s="4" t="s">
        <f>=HYPERLINK("https://www.leilaoonline.net/lote/detalhe/171162", " Fusível Siemens 1000A 120 KA - Modelo NH4-GG com base unipolar - 3NA3480 - 3 peças")</f>
      </c>
      <c r="C121" s="4" t="inlineStr">
        <is>
          <t>Não vendido</t>
        </is>
      </c>
      <c r="D121" s="4" t="inlineStr">
        <is>
          <t>0</t>
        </is>
      </c>
      <c r="E121" s="5" t="inlineStr">
        <is>
          <t>1.000,00</t>
        </is>
      </c>
      <c r="F121" s="4" t="inlineStr">
        <is>
          <t>150.00</t>
        </is>
      </c>
    </row>
    <row collapsed="false" customFormat="false" customHeight="false" hidden="false" ht="12.1" outlineLevel="0" r="122">
      <c r="A122" s="5" t="s">
        <f>=HYPERLINK("https://www.leilaoonline.net/lote/detalhe/171161", "111")</f>
      </c>
      <c r="B122" s="4" t="s">
        <f>=HYPERLINK("https://www.leilaoonline.net/lote/detalhe/171161", " Fusível Siemens 400A 50KA - Modelo Sitor com base unipolar - 3NE3 332-0B - 3 peças")</f>
      </c>
      <c r="C122" s="4" t="inlineStr">
        <is>
          <t>Não vendido</t>
        </is>
      </c>
      <c r="D122" s="4" t="inlineStr">
        <is>
          <t>0</t>
        </is>
      </c>
      <c r="E122" s="5" t="inlineStr">
        <is>
          <t>600,00</t>
        </is>
      </c>
      <c r="F122" s="4" t="inlineStr">
        <is>
          <t>150.00</t>
        </is>
      </c>
    </row>
    <row collapsed="false" customFormat="false" customHeight="false" hidden="false" ht="12.1" outlineLevel="0" r="123">
      <c r="A123" s="5" t="s">
        <f>=HYPERLINK("https://www.leilaoonline.net/lote/detalhe/171163", "112")</f>
      </c>
      <c r="B123" s="4" t="s">
        <f>=HYPERLINK("https://www.leilaoonline.net/lote/detalhe/171163", " Fusível Siemens 400A 50KA - Modelo Sitor com base unipolar - 3NE3 332-0B - 3 peças")</f>
      </c>
      <c r="C123" s="4" t="inlineStr">
        <is>
          <t>Não vendido</t>
        </is>
      </c>
      <c r="D123" s="4" t="inlineStr">
        <is>
          <t>0</t>
        </is>
      </c>
      <c r="E123" s="5" t="inlineStr">
        <is>
          <t>600,00</t>
        </is>
      </c>
      <c r="F123" s="4" t="inlineStr">
        <is>
          <t>150.00</t>
        </is>
      </c>
    </row>
    <row collapsed="false" customFormat="false" customHeight="false" hidden="false" ht="12.1" outlineLevel="0" r="124">
      <c r="A124" s="5" t="s">
        <f>=HYPERLINK("https://www.leilaoonline.net/lote/detalhe/171159", "113")</f>
      </c>
      <c r="B124" s="4" t="s">
        <f>=HYPERLINK("https://www.leilaoonline.net/lote/detalhe/171159", " Fusível Siemens 160A 120KA - Modelo NH1-GL/GG-3NA3-136 com base unipolar - 3 peças")</f>
      </c>
      <c r="C124" s="4" t="inlineStr">
        <is>
          <t>Não vendido</t>
        </is>
      </c>
      <c r="D124" s="4" t="inlineStr">
        <is>
          <t>0</t>
        </is>
      </c>
      <c r="E124" s="5" t="inlineStr">
        <is>
          <t>300,00</t>
        </is>
      </c>
      <c r="F124" s="4" t="inlineStr">
        <is>
          <t>150.00</t>
        </is>
      </c>
    </row>
    <row collapsed="false" customFormat="false" customHeight="false" hidden="false" ht="12.1" outlineLevel="0" r="125">
      <c r="A125" s="5" t="s">
        <f>=HYPERLINK("https://www.leilaoonline.net/lote/detalhe/171160", "114")</f>
      </c>
      <c r="B125" s="4" t="s">
        <f>=HYPERLINK("https://www.leilaoonline.net/lote/detalhe/171160", " Fusível Siemens 160A 120KA - Modelo NH1-GL/GG-3NA3-136 com base unipolar - 3 peças")</f>
      </c>
      <c r="C125" s="4" t="inlineStr">
        <is>
          <t>Não vendido</t>
        </is>
      </c>
      <c r="D125" s="4" t="inlineStr">
        <is>
          <t>0</t>
        </is>
      </c>
      <c r="E125" s="5" t="inlineStr">
        <is>
          <t>300,00</t>
        </is>
      </c>
      <c r="F125" s="4" t="inlineStr">
        <is>
          <t>150.00</t>
        </is>
      </c>
    </row>
    <row collapsed="false" customFormat="false" customHeight="false" hidden="false" ht="12.1" outlineLevel="0" r="126">
      <c r="A126" s="5" t="s">
        <f>=HYPERLINK("https://www.leilaoonline.net/lote/detalhe/171164", "115")</f>
      </c>
      <c r="B126" s="4" t="s">
        <f>=HYPERLINK("https://www.leilaoonline.net/lote/detalhe/171164", " Fusível Siemens 630A 120KA - Modelo NH3-GL/GG-3NA3-372 com base unipolar - 3 peças")</f>
      </c>
      <c r="C126" s="4" t="inlineStr">
        <is>
          <t>Não vendido</t>
        </is>
      </c>
      <c r="D126" s="4" t="inlineStr">
        <is>
          <t>0</t>
        </is>
      </c>
      <c r="E126" s="5" t="inlineStr">
        <is>
          <t>600,00</t>
        </is>
      </c>
      <c r="F126" s="4" t="inlineStr">
        <is>
          <t>150.00</t>
        </is>
      </c>
    </row>
    <row collapsed="false" customFormat="false" customHeight="false" hidden="false" ht="12.1" outlineLevel="0" r="127">
      <c r="A127" s="5" t="s">
        <f>=HYPERLINK("https://www.leilaoonline.net/lote/detalhe/171167", "116")</f>
      </c>
      <c r="B127" s="4" t="s">
        <f>=HYPERLINK("https://www.leilaoonline.net/lote/detalhe/171167", " Fusível Siemens 630A 120KA - Modelo NH3-GL/GG-3NA3-372 com base unipolar - 3 peças")</f>
      </c>
      <c r="C127" s="4" t="inlineStr">
        <is>
          <t>Não vendido</t>
        </is>
      </c>
      <c r="D127" s="4" t="inlineStr">
        <is>
          <t>0</t>
        </is>
      </c>
      <c r="E127" s="5" t="inlineStr">
        <is>
          <t>600,00</t>
        </is>
      </c>
      <c r="F127" s="4" t="inlineStr">
        <is>
          <t>150.00</t>
        </is>
      </c>
    </row>
    <row collapsed="false" customFormat="false" customHeight="false" hidden="false" ht="12.1" outlineLevel="0" r="128">
      <c r="A128" s="5" t="s">
        <f>=HYPERLINK("https://www.leilaoonline.net/lote/detalhe/171168", "117")</f>
      </c>
      <c r="B128" s="4" t="s">
        <f>=HYPERLINK("https://www.leilaoonline.net/lote/detalhe/171168", " Fusível Siemens 630A 120KA - Modelo NH1-GL/GG-3NA3-136 com base unipolar - 3 peças")</f>
      </c>
      <c r="C128" s="4" t="inlineStr">
        <is>
          <t>Não vendido</t>
        </is>
      </c>
      <c r="D128" s="4" t="inlineStr">
        <is>
          <t>0</t>
        </is>
      </c>
      <c r="E128" s="5" t="inlineStr">
        <is>
          <t>300,00</t>
        </is>
      </c>
      <c r="F128" s="4" t="inlineStr">
        <is>
          <t>150.00</t>
        </is>
      </c>
    </row>
    <row collapsed="false" customFormat="false" customHeight="false" hidden="false" ht="12.1" outlineLevel="0" r="129">
      <c r="A129" s="5" t="s">
        <f>=HYPERLINK("https://www.leilaoonline.net/lote/detalhe/171165", "118")</f>
      </c>
      <c r="B129" s="4" t="s">
        <f>=HYPERLINK("https://www.leilaoonline.net/lote/detalhe/171165", " Fusível diversas marcas, amperagens e modelos - 83 peças")</f>
      </c>
      <c r="C129" s="4" t="inlineStr">
        <is>
          <t>Não vendido</t>
        </is>
      </c>
      <c r="D129" s="4" t="inlineStr">
        <is>
          <t>0</t>
        </is>
      </c>
      <c r="E129" s="5" t="inlineStr">
        <is>
          <t>1.500,00</t>
        </is>
      </c>
      <c r="F129" s="4" t="inlineStr">
        <is>
          <t>150.00</t>
        </is>
      </c>
    </row>
    <row collapsed="false" customFormat="false" customHeight="false" hidden="false" ht="12.1" outlineLevel="0" r="130">
      <c r="A130" s="5" t="s">
        <f>=HYPERLINK("https://www.leilaoonline.net/lote/detalhe/171166", "119")</f>
      </c>
      <c r="B130" s="4" t="s">
        <f>=HYPERLINK("https://www.leilaoonline.net/lote/detalhe/171166", " Caixa de força e tomadas - diversas marcas tomada macho e fêmea - 46 peças")</f>
      </c>
      <c r="C130" s="4" t="inlineStr">
        <is>
          <t>Não vendido</t>
        </is>
      </c>
      <c r="D130" s="4" t="inlineStr">
        <is>
          <t>0</t>
        </is>
      </c>
      <c r="E130" s="5" t="inlineStr">
        <is>
          <t>1.000,00</t>
        </is>
      </c>
      <c r="F130" s="4" t="inlineStr">
        <is>
          <t>150.00</t>
        </is>
      </c>
    </row>
    <row collapsed="false" customFormat="false" customHeight="false" hidden="false" ht="12.1" outlineLevel="0" r="131">
      <c r="A131" s="5" t="s">
        <f>=HYPERLINK("https://www.leilaoonline.net/lote/detalhe/171170", "120")</f>
      </c>
      <c r="B131" s="4" t="s">
        <f>=HYPERLINK("https://www.leilaoonline.net/lote/detalhe/171170", " Materiais Elétricos diversos modelos, voltagens e marcas")</f>
      </c>
      <c r="C131" s="4" t="inlineStr">
        <is>
          <t>Não vendido</t>
        </is>
      </c>
      <c r="D131" s="4" t="inlineStr">
        <is>
          <t>0</t>
        </is>
      </c>
      <c r="E131" s="5" t="inlineStr">
        <is>
          <t>500,00</t>
        </is>
      </c>
      <c r="F131" s="4" t="inlineStr">
        <is>
          <t>150.00</t>
        </is>
      </c>
    </row>
    <row collapsed="false" customFormat="false" customHeight="false" hidden="false" ht="12.1" outlineLevel="0" r="132">
      <c r="A132" s="5" t="s">
        <f>=HYPERLINK("https://www.leilaoonline.net/lote/detalhe/171169", "121")</f>
      </c>
      <c r="B132" s="4" t="s">
        <f>=HYPERLINK("https://www.leilaoonline.net/lote/detalhe/171169", " Transformador de corrente diversas marcas e amperagens - 35 peças")</f>
      </c>
      <c r="C132" s="4" t="inlineStr">
        <is>
          <t>Não vendido</t>
        </is>
      </c>
      <c r="D132" s="4" t="inlineStr">
        <is>
          <t>0</t>
        </is>
      </c>
      <c r="E132" s="5" t="inlineStr">
        <is>
          <t>950,00</t>
        </is>
      </c>
      <c r="F132" s="4" t="inlineStr">
        <is>
          <t>150.00</t>
        </is>
      </c>
    </row>
    <row collapsed="false" customFormat="false" customHeight="false" hidden="false" ht="12.1" outlineLevel="0" r="133">
      <c r="A133" s="5" t="s">
        <f>=HYPERLINK("https://www.leilaoonline.net/lote/detalhe/171171", "122")</f>
      </c>
      <c r="B133" s="4" t="s">
        <f>=HYPERLINK("https://www.leilaoonline.net/lote/detalhe/171171", " Disjuntor caixa aberta Merlin Gerim, Master Pact - Modelo M16 H1 1600 A - KA65 com STR 38 S 1 peça")</f>
      </c>
      <c r="C133" s="4" t="inlineStr">
        <is>
          <t>Não vendido</t>
        </is>
      </c>
      <c r="D133" s="4" t="inlineStr">
        <is>
          <t>0</t>
        </is>
      </c>
      <c r="E133" s="5" t="inlineStr">
        <is>
          <t>3.200,00</t>
        </is>
      </c>
      <c r="F133" s="4" t="inlineStr">
        <is>
          <t>250.00</t>
        </is>
      </c>
    </row>
    <row collapsed="false" customFormat="false" customHeight="false" hidden="false" ht="12.1" outlineLevel="0" r="134">
      <c r="A134" s="5" t="s">
        <f>=HYPERLINK("https://www.leilaoonline.net/lote/detalhe/171173", "123")</f>
      </c>
      <c r="B134" s="4" t="s">
        <f>=HYPERLINK("https://www.leilaoonline.net/lote/detalhe/171173", " Disjuntor caixa aberta Merlin Gerim, Master Pact - Modelo M16 H1 1600 A - KA65 com STR 38 S 1 peça")</f>
      </c>
      <c r="C134" s="4" t="inlineStr">
        <is>
          <t>Não vendido</t>
        </is>
      </c>
      <c r="D134" s="4" t="inlineStr">
        <is>
          <t>0</t>
        </is>
      </c>
      <c r="E134" s="5" t="inlineStr">
        <is>
          <t>3.200,00</t>
        </is>
      </c>
      <c r="F134" s="4" t="inlineStr">
        <is>
          <t>250.00</t>
        </is>
      </c>
    </row>
    <row collapsed="false" customFormat="false" customHeight="false" hidden="false" ht="12.1" outlineLevel="0" r="135">
      <c r="A135" s="5" t="s">
        <f>=HYPERLINK("https://www.leilaoonline.net/lote/detalhe/171175", "124")</f>
      </c>
      <c r="B135" s="4" t="s">
        <f>=HYPERLINK("https://www.leilaoonline.net/lote/detalhe/171175", " Disjuntor caixa aberta Merlin Gerim, Master Pact - Modelo M32H1 3200A - KA75 com STR 38 S 1 peça")</f>
      </c>
      <c r="C135" s="4" t="inlineStr">
        <is>
          <t>Não vendido</t>
        </is>
      </c>
      <c r="D135" s="4" t="inlineStr">
        <is>
          <t>0</t>
        </is>
      </c>
      <c r="E135" s="5" t="inlineStr">
        <is>
          <t>5.000,00</t>
        </is>
      </c>
      <c r="F135" s="4" t="inlineStr">
        <is>
          <t>250.00</t>
        </is>
      </c>
    </row>
    <row collapsed="false" customFormat="false" customHeight="false" hidden="false" ht="12.1" outlineLevel="0" r="136">
      <c r="A136" s="5" t="s">
        <f>=HYPERLINK("https://www.leilaoonline.net/lote/detalhe/171176", "125")</f>
      </c>
      <c r="B136" s="4" t="s">
        <f>=HYPERLINK("https://www.leilaoonline.net/lote/detalhe/171176", " Disjuntor caixa aberta Merlin Gerim, Master Pact - Modelo M32H1 3200A - KA75 com STR 38 S 1 peça")</f>
      </c>
      <c r="C136" s="4" t="inlineStr">
        <is>
          <t>Não vendido</t>
        </is>
      </c>
      <c r="D136" s="4" t="inlineStr">
        <is>
          <t>0</t>
        </is>
      </c>
      <c r="E136" s="5" t="inlineStr">
        <is>
          <t>5.000,00</t>
        </is>
      </c>
      <c r="F136" s="4" t="inlineStr">
        <is>
          <t>250.00</t>
        </is>
      </c>
    </row>
    <row collapsed="false" customFormat="false" customHeight="false" hidden="false" ht="12.1" outlineLevel="0" r="137">
      <c r="A137" s="5" t="s">
        <f>=HYPERLINK("https://www.leilaoonline.net/lote/detalhe/171172", "126")</f>
      </c>
      <c r="B137" s="4" t="s">
        <f>=HYPERLINK("https://www.leilaoonline.net/lote/detalhe/171172", " Disjuntor caixa aberta Merlin Gerim, Master Pact - Modelo M16H1 1600A - KA65 com STR 38 S 1 peça")</f>
      </c>
      <c r="C137" s="4" t="inlineStr">
        <is>
          <t>Não vendido</t>
        </is>
      </c>
      <c r="D137" s="4" t="inlineStr">
        <is>
          <t>0</t>
        </is>
      </c>
      <c r="E137" s="5" t="inlineStr">
        <is>
          <t>3.200,00</t>
        </is>
      </c>
      <c r="F137" s="4" t="inlineStr">
        <is>
          <t>250.00</t>
        </is>
      </c>
    </row>
    <row collapsed="false" customFormat="false" customHeight="false" hidden="false" ht="12.1" outlineLevel="0" r="138">
      <c r="A138" s="5" t="s">
        <f>=HYPERLINK("https://www.leilaoonline.net/lote/detalhe/171174", "127")</f>
      </c>
      <c r="B138" s="4" t="s">
        <f>=HYPERLINK("https://www.leilaoonline.net/lote/detalhe/171174", " Disjuntor caixa aberta Merlin Gerim, Master Pact - Modelo M16H1 1600A - KA65 com STR 38 S - 1 peça")</f>
      </c>
      <c r="C138" s="4" t="inlineStr">
        <is>
          <t>Não vendido</t>
        </is>
      </c>
      <c r="D138" s="4" t="inlineStr">
        <is>
          <t>0</t>
        </is>
      </c>
      <c r="E138" s="5" t="inlineStr">
        <is>
          <t>3.200,00</t>
        </is>
      </c>
      <c r="F138" s="4" t="inlineStr">
        <is>
          <t>250.00</t>
        </is>
      </c>
    </row>
    <row collapsed="false" customFormat="false" customHeight="false" hidden="false" ht="12.1" outlineLevel="0" r="139">
      <c r="A139" s="5" t="s">
        <f>=HYPERLINK("https://www.leilaoonline.net/lote/detalhe/171177", "128")</f>
      </c>
      <c r="B139" s="4" t="s">
        <f>=HYPERLINK("https://www.leilaoonline.net/lote/detalhe/171177", " Disjuntor caixa aberta seccionadora marca Merlim Gerin Master Pact modelo M20 F 2000A KA 75 com ST008 1 peça")</f>
      </c>
      <c r="C139" s="4" t="inlineStr">
        <is>
          <t>Não vendido</t>
        </is>
      </c>
      <c r="D139" s="4" t="inlineStr">
        <is>
          <t>0</t>
        </is>
      </c>
      <c r="E139" s="5" t="inlineStr">
        <is>
          <t>2.500,00</t>
        </is>
      </c>
      <c r="F139" s="4" t="inlineStr">
        <is>
          <t>250.00</t>
        </is>
      </c>
    </row>
    <row collapsed="false" customFormat="false" customHeight="false" hidden="false" ht="12.1" outlineLevel="0" r="140">
      <c r="A140" s="5" t="s">
        <f>=HYPERLINK("https://www.leilaoonline.net/lote/detalhe/171180", "129")</f>
      </c>
      <c r="B140" s="4" t="s">
        <f>=HYPERLINK("https://www.leilaoonline.net/lote/detalhe/171180", " Disjuntor caixa aberta - Marca Merlim Gerin Master Pact modelo M20 N1 2000A KA55 com STR 28D - 1 peça")</f>
      </c>
      <c r="C140" s="4" t="inlineStr">
        <is>
          <t>Não vendido</t>
        </is>
      </c>
      <c r="D140" s="4" t="inlineStr">
        <is>
          <t>0</t>
        </is>
      </c>
      <c r="E140" s="5" t="inlineStr">
        <is>
          <t>4.000,00</t>
        </is>
      </c>
      <c r="F140" s="4" t="inlineStr">
        <is>
          <t>250.00</t>
        </is>
      </c>
    </row>
    <row collapsed="false" customFormat="false" customHeight="false" hidden="false" ht="12.1" outlineLevel="0" r="141">
      <c r="A141" s="5" t="s">
        <f>=HYPERLINK("https://www.leilaoonline.net/lote/detalhe/171179", "130")</f>
      </c>
      <c r="B141" s="4" t="s">
        <f>=HYPERLINK("https://www.leilaoonline.net/lote/detalhe/171179", " Disjuntor caixa aberta - Marca Merlim Gerin Master Pact modelo M10 N1 1000A KA40 com STR 28D - 1 peça")</f>
      </c>
      <c r="C141" s="4" t="inlineStr">
        <is>
          <t>Não vendido</t>
        </is>
      </c>
      <c r="D141" s="4" t="inlineStr">
        <is>
          <t>0</t>
        </is>
      </c>
      <c r="E141" s="5" t="inlineStr">
        <is>
          <t>2.000,00</t>
        </is>
      </c>
      <c r="F141" s="4" t="inlineStr">
        <is>
          <t>250.00</t>
        </is>
      </c>
    </row>
    <row collapsed="false" customFormat="false" customHeight="false" hidden="false" ht="12.1" outlineLevel="0" r="142">
      <c r="A142" s="5" t="s">
        <f>=HYPERLINK("https://www.leilaoonline.net/lote/detalhe/171178", "131")</f>
      </c>
      <c r="B142" s="4" t="s">
        <f>=HYPERLINK("https://www.leilaoonline.net/lote/detalhe/171178", " Disjuntor caixa aberta - Marca Merlim Gerin Master Pact modelo M50 H1 5000A KA100 com STR 38 S - 1 peça")</f>
      </c>
      <c r="C142" s="4" t="inlineStr">
        <is>
          <t>Não vendido</t>
        </is>
      </c>
      <c r="D142" s="4" t="inlineStr">
        <is>
          <t>0</t>
        </is>
      </c>
      <c r="E142" s="5" t="inlineStr">
        <is>
          <t>6.000,00</t>
        </is>
      </c>
      <c r="F142" s="4" t="inlineStr">
        <is>
          <t>250.00</t>
        </is>
      </c>
    </row>
    <row collapsed="false" customFormat="false" customHeight="false" hidden="false" ht="12.1" outlineLevel="0" r="143">
      <c r="A143" s="5" t="s">
        <f>=HYPERLINK("https://www.leilaoonline.net/lote/detalhe/171181", "132")</f>
      </c>
      <c r="B143" s="4" t="s">
        <f>=HYPERLINK("https://www.leilaoonline.net/lote/detalhe/171181", " Disjuntor caixa aberta - Marca Merlim Gerin Master Pact modelo M16 H1 1600A KA65 com STR 38 S - 1 peça")</f>
      </c>
      <c r="C143" s="4" t="inlineStr">
        <is>
          <t>Não vendido</t>
        </is>
      </c>
      <c r="D143" s="4" t="inlineStr">
        <is>
          <t>0</t>
        </is>
      </c>
      <c r="E143" s="5" t="inlineStr">
        <is>
          <t>3.200,00</t>
        </is>
      </c>
      <c r="F143" s="4" t="inlineStr">
        <is>
          <t>250.00</t>
        </is>
      </c>
    </row>
    <row collapsed="false" customFormat="false" customHeight="false" hidden="false" ht="12.1" outlineLevel="0" r="144">
      <c r="A144" s="5" t="s">
        <f>=HYPERLINK("https://www.leilaoonline.net/lote/detalhe/171182", "133")</f>
      </c>
      <c r="B144" s="4" t="s">
        <f>=HYPERLINK("https://www.leilaoonline.net/lote/detalhe/171182", " Disjuntor caixa aberta seccionadora marca Merlim Gerin Master Pact modelo M20 F 2000A KA 75 com ST008 - 1 peça")</f>
      </c>
      <c r="C144" s="4" t="inlineStr">
        <is>
          <t>Não vendido</t>
        </is>
      </c>
      <c r="D144" s="4" t="inlineStr">
        <is>
          <t>0</t>
        </is>
      </c>
      <c r="E144" s="5" t="inlineStr">
        <is>
          <t>2.500,00</t>
        </is>
      </c>
      <c r="F144" s="4" t="inlineStr">
        <is>
          <t>250.00</t>
        </is>
      </c>
    </row>
    <row collapsed="false" customFormat="false" customHeight="false" hidden="false" ht="12.1" outlineLevel="0" r="145">
      <c r="A145" s="5" t="s">
        <f>=HYPERLINK("https://www.leilaoonline.net/lote/detalhe/171185", "134")</f>
      </c>
      <c r="B145" s="4" t="s">
        <f>=HYPERLINK("https://www.leilaoonline.net/lote/detalhe/171185", " Disjuntor caixa aberta - marca Merlim Gerin Master Pact modelo M16 H1 1600A KA 65 com STR 38 S - 1 peça")</f>
      </c>
      <c r="C145" s="4" t="inlineStr">
        <is>
          <t>Não vendido</t>
        </is>
      </c>
      <c r="D145" s="4" t="inlineStr">
        <is>
          <t>0</t>
        </is>
      </c>
      <c r="E145" s="5" t="inlineStr">
        <is>
          <t>3.200,00</t>
        </is>
      </c>
      <c r="F145" s="4" t="inlineStr">
        <is>
          <t>250.00</t>
        </is>
      </c>
    </row>
    <row collapsed="false" customFormat="false" customHeight="false" hidden="false" ht="12.1" outlineLevel="0" r="146">
      <c r="A146" s="5" t="s">
        <f>=HYPERLINK("https://www.leilaoonline.net/lote/detalhe/171183", "135")</f>
      </c>
      <c r="B146" s="4" t="s">
        <f>=HYPERLINK("https://www.leilaoonline.net/lote/detalhe/171183", " Disjuntor caixa aberta - marca Merlim Gerin Master Pact modelo M32 H1 3200A KA 75 com STR 38 S - 1 peça")</f>
      </c>
      <c r="C146" s="4" t="inlineStr">
        <is>
          <t>Não vendido</t>
        </is>
      </c>
      <c r="D146" s="4" t="inlineStr">
        <is>
          <t>0</t>
        </is>
      </c>
      <c r="E146" s="5" t="inlineStr">
        <is>
          <t>5.000,00</t>
        </is>
      </c>
      <c r="F146" s="4" t="inlineStr">
        <is>
          <t>250.00</t>
        </is>
      </c>
    </row>
    <row collapsed="false" customFormat="false" customHeight="false" hidden="false" ht="12.1" outlineLevel="0" r="147">
      <c r="A147" s="5" t="s">
        <f>=HYPERLINK("https://www.leilaoonline.net/lote/detalhe/171184", "136")</f>
      </c>
      <c r="B147" s="4" t="s">
        <f>=HYPERLINK("https://www.leilaoonline.net/lote/detalhe/171184", " Disjuntor caixa aberta - marca Moeller - Modelo IZM 32-800 800A KA 40 - 1 peça")</f>
      </c>
      <c r="C147" s="4" t="inlineStr">
        <is>
          <t>Não vendido</t>
        </is>
      </c>
      <c r="D147" s="4" t="inlineStr">
        <is>
          <t>0</t>
        </is>
      </c>
      <c r="E147" s="5" t="inlineStr">
        <is>
          <t>1.500,00</t>
        </is>
      </c>
      <c r="F147" s="4" t="inlineStr">
        <is>
          <t>150.00</t>
        </is>
      </c>
    </row>
    <row collapsed="false" customFormat="false" customHeight="false" hidden="false" ht="12.1" outlineLevel="0" r="148">
      <c r="A148" s="5" t="s">
        <f>=HYPERLINK("https://www.leilaoonline.net/lote/detalhe/171186", "137")</f>
      </c>
      <c r="B148" s="4" t="s">
        <f>=HYPERLINK("https://www.leilaoonline.net/lote/detalhe/171186", " Disjuntor caixa aberta - marca Moeller - Modelo IZM 32-2000 2000A KA 55 - 1 peça")</f>
      </c>
      <c r="C148" s="4" t="inlineStr">
        <is>
          <t>Não vendido</t>
        </is>
      </c>
      <c r="D148" s="4" t="inlineStr">
        <is>
          <t>0</t>
        </is>
      </c>
      <c r="E148" s="5" t="inlineStr">
        <is>
          <t>3.000,00</t>
        </is>
      </c>
      <c r="F148" s="4" t="inlineStr">
        <is>
          <t>250.00</t>
        </is>
      </c>
    </row>
    <row collapsed="false" customFormat="false" customHeight="false" hidden="false" ht="12.1" outlineLevel="0" r="149">
      <c r="A149" s="5" t="s">
        <f>=HYPERLINK("https://www.leilaoonline.net/lote/detalhe/171187", "138")</f>
      </c>
      <c r="B149" s="4" t="s">
        <f>=HYPERLINK("https://www.leilaoonline.net/lote/detalhe/171187", " Disjuntor caixa aberta - marca Moeller - Modelo IZM 32-1600 1600A KA 40 - 1 peça")</f>
      </c>
      <c r="C149" s="4" t="inlineStr">
        <is>
          <t>Não vendido</t>
        </is>
      </c>
      <c r="D149" s="4" t="inlineStr">
        <is>
          <t>0</t>
        </is>
      </c>
      <c r="E149" s="5" t="inlineStr">
        <is>
          <t>2.500,00</t>
        </is>
      </c>
      <c r="F149" s="4" t="inlineStr">
        <is>
          <t>250.00</t>
        </is>
      </c>
    </row>
    <row collapsed="false" customFormat="false" customHeight="false" hidden="false" ht="12.1" outlineLevel="0" r="150">
      <c r="A150" s="5" t="s">
        <f>=HYPERLINK("https://www.leilaoonline.net/lote/detalhe/171188", "139")</f>
      </c>
      <c r="B150" s="4" t="s">
        <f>=HYPERLINK("https://www.leilaoonline.net/lote/detalhe/171188", " Disjuntor caixa aberta - marca Moeller - Modelo IZM 32-2500 2500A KA 55 - 1 peça")</f>
      </c>
      <c r="C150" s="4" t="inlineStr">
        <is>
          <t>Não vendido</t>
        </is>
      </c>
      <c r="D150" s="4" t="inlineStr">
        <is>
          <t>0</t>
        </is>
      </c>
      <c r="E150" s="5" t="inlineStr">
        <is>
          <t>3.500,00</t>
        </is>
      </c>
      <c r="F150" s="4" t="inlineStr">
        <is>
          <t>250.00</t>
        </is>
      </c>
    </row>
    <row collapsed="false" customFormat="false" customHeight="false" hidden="false" ht="12.1" outlineLevel="0" r="151">
      <c r="A151" s="5" t="s">
        <f>=HYPERLINK("https://www.leilaoonline.net/lote/detalhe/171190", "140")</f>
      </c>
      <c r="B151" s="4" t="s">
        <f>=HYPERLINK("https://www.leilaoonline.net/lote/detalhe/171190", " Disjuntor caixa aberta - Marca Merlim Gerin Master Pact modelo M20 H1 2000A KA75 com STR 38 S - 1 peça")</f>
      </c>
      <c r="C151" s="4" t="inlineStr">
        <is>
          <t>Não vendido</t>
        </is>
      </c>
      <c r="D151" s="4" t="inlineStr">
        <is>
          <t>0</t>
        </is>
      </c>
      <c r="E151" s="5" t="inlineStr">
        <is>
          <t>4.000,00</t>
        </is>
      </c>
      <c r="F151" s="4" t="inlineStr">
        <is>
          <t>250.00</t>
        </is>
      </c>
    </row>
    <row collapsed="false" customFormat="false" customHeight="false" hidden="false" ht="12.1" outlineLevel="0" r="152">
      <c r="A152" s="5" t="s">
        <f>=HYPERLINK("https://www.leilaoonline.net/lote/detalhe/171191", "141")</f>
      </c>
      <c r="B152" s="4" t="s">
        <f>=HYPERLINK("https://www.leilaoonline.net/lote/detalhe/171191", " Disjuntor caixa aberta seccionadora - Marca Merlim Gerin Master Pact modelo M20 HF 2000A KA75 com ST 008 - 1 peça")</f>
      </c>
      <c r="C152" s="4" t="inlineStr">
        <is>
          <t>Não vendido</t>
        </is>
      </c>
      <c r="D152" s="4" t="inlineStr">
        <is>
          <t>0</t>
        </is>
      </c>
      <c r="E152" s="5" t="inlineStr">
        <is>
          <t>2.500,00</t>
        </is>
      </c>
      <c r="F152" s="4" t="inlineStr">
        <is>
          <t>250.00</t>
        </is>
      </c>
    </row>
    <row collapsed="false" customFormat="false" customHeight="false" hidden="false" ht="12.1" outlineLevel="0" r="153">
      <c r="A153" s="5" t="s">
        <f>=HYPERLINK("https://www.leilaoonline.net/lote/detalhe/171189", "142")</f>
      </c>
      <c r="B153" s="4" t="s">
        <f>=HYPERLINK("https://www.leilaoonline.net/lote/detalhe/171189", " Disjuntor caixa aberta seccionadora - Marca Merlim Gerin Master Pact modelo M16 HF 1600A KA50 com STR 008 - 1 peça")</f>
      </c>
      <c r="C153" s="4" t="inlineStr">
        <is>
          <t>Não vendido</t>
        </is>
      </c>
      <c r="D153" s="4" t="inlineStr">
        <is>
          <t>0</t>
        </is>
      </c>
      <c r="E153" s="5" t="inlineStr">
        <is>
          <t>2.000,00</t>
        </is>
      </c>
      <c r="F153" s="4" t="inlineStr">
        <is>
          <t>250.00</t>
        </is>
      </c>
    </row>
    <row collapsed="false" customFormat="false" customHeight="false" hidden="false" ht="12.1" outlineLevel="0" r="154">
      <c r="A154" s="5" t="s">
        <f>=HYPERLINK("https://www.leilaoonline.net/lote/detalhe/171192", "143")</f>
      </c>
      <c r="B154" s="4" t="s">
        <f>=HYPERLINK("https://www.leilaoonline.net/lote/detalhe/171192", " Disjuntor caixa aberta - Marca Merlim Gerin Master Pact modelo M20 H1 2000A KA75 com STR 38 S - 1 peça")</f>
      </c>
      <c r="C154" s="4" t="inlineStr">
        <is>
          <t>Não vendido</t>
        </is>
      </c>
      <c r="D154" s="4" t="inlineStr">
        <is>
          <t>0</t>
        </is>
      </c>
      <c r="E154" s="5" t="inlineStr">
        <is>
          <t>4.000,00</t>
        </is>
      </c>
      <c r="F154" s="4" t="inlineStr">
        <is>
          <t>250.00</t>
        </is>
      </c>
    </row>
    <row collapsed="false" customFormat="false" customHeight="false" hidden="false" ht="12.1" outlineLevel="0" r="155">
      <c r="A155" s="5" t="s">
        <f>=HYPERLINK("https://www.leilaoonline.net/lote/detalhe/171195", "144")</f>
      </c>
      <c r="B155" s="4" t="s">
        <f>=HYPERLINK("https://www.leilaoonline.net/lote/detalhe/171195", " Disjuntor caixa aberta - Marca Merlim Gerin Master Pact modelo M16 H1 1600A KA65 com STR 38 S - 1 peça")</f>
      </c>
      <c r="C155" s="4" t="inlineStr">
        <is>
          <t>Não vendido</t>
        </is>
      </c>
      <c r="D155" s="4" t="inlineStr">
        <is>
          <t>0</t>
        </is>
      </c>
      <c r="E155" s="5" t="inlineStr">
        <is>
          <t>3.200,00</t>
        </is>
      </c>
      <c r="F155" s="4" t="inlineStr">
        <is>
          <t>250.00</t>
        </is>
      </c>
    </row>
    <row collapsed="false" customFormat="false" customHeight="false" hidden="false" ht="12.1" outlineLevel="0" r="156">
      <c r="A156" s="5" t="s">
        <f>=HYPERLINK("https://www.leilaoonline.net/lote/detalhe/171193", "145")</f>
      </c>
      <c r="B156" s="4" t="s">
        <f>=HYPERLINK("https://www.leilaoonline.net/lote/detalhe/171193", " Disjuntor caixa aberta - Marca Merlim Gerin Master Pact modelo M32 H1 3200A KA 75 com STR 28 D - 1 peça")</f>
      </c>
      <c r="C156" s="4" t="inlineStr">
        <is>
          <t>Não vendido</t>
        </is>
      </c>
      <c r="D156" s="4" t="inlineStr">
        <is>
          <t>0</t>
        </is>
      </c>
      <c r="E156" s="5" t="inlineStr">
        <is>
          <t>5.000,00</t>
        </is>
      </c>
      <c r="F156" s="4" t="inlineStr">
        <is>
          <t>250.00</t>
        </is>
      </c>
    </row>
    <row collapsed="false" customFormat="false" customHeight="false" hidden="false" ht="12.1" outlineLevel="0" r="157">
      <c r="A157" s="5" t="s">
        <f>=HYPERLINK("https://www.leilaoonline.net/lote/detalhe/171194", "146")</f>
      </c>
      <c r="B157" s="4" t="s">
        <f>=HYPERLINK("https://www.leilaoonline.net/lote/detalhe/171194", " Disjuntor caixa aberta - Marca Merlim Gerin Master Pact modelo M20 H1 2000A KA75 com STR 38 S - 1 peça")</f>
      </c>
      <c r="C157" s="4" t="inlineStr">
        <is>
          <t>Não vendido</t>
        </is>
      </c>
      <c r="D157" s="4" t="inlineStr">
        <is>
          <t>0</t>
        </is>
      </c>
      <c r="E157" s="5" t="inlineStr">
        <is>
          <t>4.000,00</t>
        </is>
      </c>
      <c r="F157" s="4" t="inlineStr">
        <is>
          <t>250.00</t>
        </is>
      </c>
    </row>
    <row collapsed="false" customFormat="false" customHeight="false" hidden="false" ht="12.1" outlineLevel="0" r="158">
      <c r="A158" s="5" t="s">
        <f>=HYPERLINK("https://www.leilaoonline.net/lote/detalhe/171196", "147")</f>
      </c>
      <c r="B158" s="4" t="s">
        <f>=HYPERLINK("https://www.leilaoonline.net/lote/detalhe/171196", " Disjuntor caixa aberta - Marca Merlim Gerin Master Pact modelo M16 H1 1600A KA65 com STR 38 S - 1 peça")</f>
      </c>
      <c r="C158" s="4" t="inlineStr">
        <is>
          <t>Não vendido</t>
        </is>
      </c>
      <c r="D158" s="4" t="inlineStr">
        <is>
          <t>0</t>
        </is>
      </c>
      <c r="E158" s="5" t="inlineStr">
        <is>
          <t>3.200,00</t>
        </is>
      </c>
      <c r="F158" s="4" t="inlineStr">
        <is>
          <t>250.00</t>
        </is>
      </c>
    </row>
    <row collapsed="false" customFormat="false" customHeight="false" hidden="false" ht="12.1" outlineLevel="0" r="159">
      <c r="A159" s="5" t="s">
        <f>=HYPERLINK("https://www.leilaoonline.net/lote/detalhe/171197", "148")</f>
      </c>
      <c r="B159" s="4" t="s">
        <f>=HYPERLINK("https://www.leilaoonline.net/lote/detalhe/171197", " Disjuntor caixa aberta seccionadora - Marca Merlim Gerin Master Pact modelo M20 HF 2000A KA75 com ST 008 - 1 peça")</f>
      </c>
      <c r="C159" s="4" t="inlineStr">
        <is>
          <t>Não vendido</t>
        </is>
      </c>
      <c r="D159" s="4" t="inlineStr">
        <is>
          <t>0</t>
        </is>
      </c>
      <c r="E159" s="5" t="inlineStr">
        <is>
          <t>2.500,00</t>
        </is>
      </c>
      <c r="F159" s="4" t="inlineStr">
        <is>
          <t>250.00</t>
        </is>
      </c>
    </row>
    <row collapsed="false" customFormat="false" customHeight="false" hidden="false" ht="12.1" outlineLevel="0" r="160">
      <c r="A160" s="5" t="s">
        <f>=HYPERLINK("https://www.leilaoonline.net/lote/detalhe/171199", "149")</f>
      </c>
      <c r="B160" s="4" t="s">
        <f>=HYPERLINK("https://www.leilaoonline.net/lote/detalhe/171199", " Disjuntor caixa moldada marca ABB Sace Tmax T7 1250A KA 85 com SACE PR231/P - 2 peças")</f>
      </c>
      <c r="C160" s="4" t="inlineStr">
        <is>
          <t>Não vendido</t>
        </is>
      </c>
      <c r="D160" s="4" t="inlineStr">
        <is>
          <t>0</t>
        </is>
      </c>
      <c r="E160" s="5" t="inlineStr">
        <is>
          <t>5.000,00</t>
        </is>
      </c>
      <c r="F160" s="4" t="inlineStr">
        <is>
          <t>250.00</t>
        </is>
      </c>
    </row>
    <row collapsed="false" customFormat="false" customHeight="false" hidden="false" ht="12.1" outlineLevel="0" r="161">
      <c r="A161" s="5" t="s">
        <f>=HYPERLINK("https://www.leilaoonline.net/lote/detalhe/171200", "150")</f>
      </c>
      <c r="B161" s="4" t="s">
        <f>=HYPERLINK("https://www.leilaoonline.net/lote/detalhe/171200", " Disjuntor caixa moldada 3P marca Square D - Modelo PCF362500 DC 1680 2500A série 4 - 1 peça")</f>
      </c>
      <c r="C161" s="4" t="inlineStr">
        <is>
          <t>Não vendido</t>
        </is>
      </c>
      <c r="D161" s="4" t="inlineStr">
        <is>
          <t>0</t>
        </is>
      </c>
      <c r="E161" s="5" t="inlineStr">
        <is>
          <t>2.000,00</t>
        </is>
      </c>
      <c r="F161" s="4" t="inlineStr">
        <is>
          <t>250.00</t>
        </is>
      </c>
    </row>
    <row collapsed="false" customFormat="false" customHeight="false" hidden="false" ht="12.1" outlineLevel="0" r="162">
      <c r="A162" s="5" t="s">
        <f>=HYPERLINK("https://www.leilaoonline.net/lote/detalhe/171201", "151")</f>
      </c>
      <c r="B162" s="4" t="s">
        <f>=HYPERLINK("https://www.leilaoonline.net/lote/detalhe/171201", " Disjuntor caixa moldada 3 P - Marca Square D - Modelo PCF362500 DC 1680 2500A série 4 - 1 peça")</f>
      </c>
      <c r="C162" s="4" t="inlineStr">
        <is>
          <t>Não vendido</t>
        </is>
      </c>
      <c r="D162" s="4" t="inlineStr">
        <is>
          <t>0</t>
        </is>
      </c>
      <c r="E162" s="5" t="inlineStr">
        <is>
          <t>2.000,00</t>
        </is>
      </c>
      <c r="F162" s="4" t="inlineStr">
        <is>
          <t>250.00</t>
        </is>
      </c>
    </row>
    <row collapsed="false" customFormat="false" customHeight="false" hidden="false" ht="12.1" outlineLevel="0" r="163">
      <c r="A163" s="5" t="s">
        <f>=HYPERLINK("https://www.leilaoonline.net/lote/detalhe/171198", "152")</f>
      </c>
      <c r="B163" s="4" t="s">
        <f>=HYPERLINK("https://www.leilaoonline.net/lote/detalhe/171198", " Disjuntor caixa moldada 3 P - Marca Square D - Modelo PC - cod: PCF362500 DC A680 2500A - 1 peça")</f>
      </c>
      <c r="C163" s="4" t="inlineStr">
        <is>
          <t>Não vendido</t>
        </is>
      </c>
      <c r="D163" s="4" t="inlineStr">
        <is>
          <t>0</t>
        </is>
      </c>
      <c r="E163" s="5" t="inlineStr">
        <is>
          <t>2.000,00</t>
        </is>
      </c>
      <c r="F163" s="4" t="inlineStr">
        <is>
          <t>250.00</t>
        </is>
      </c>
    </row>
    <row collapsed="false" customFormat="false" customHeight="false" hidden="false" ht="12.1" outlineLevel="0" r="164">
      <c r="A164" s="5" t="s">
        <f>=HYPERLINK("https://www.leilaoonline.net/lote/detalhe/171202", "153")</f>
      </c>
      <c r="B164" s="4" t="s">
        <f>=HYPERLINK("https://www.leilaoonline.net/lote/detalhe/171202", " Disjuntor caixa moldada 3 P - Marca Square D - Modelo PC - 2500A - cod: PCF362500 DC A680 - 1 peça")</f>
      </c>
      <c r="C164" s="4" t="inlineStr">
        <is>
          <t>Não vendido</t>
        </is>
      </c>
      <c r="D164" s="4" t="inlineStr">
        <is>
          <t>0</t>
        </is>
      </c>
      <c r="E164" s="5" t="inlineStr">
        <is>
          <t>2.000,00</t>
        </is>
      </c>
      <c r="F164" s="4" t="inlineStr">
        <is>
          <t>250.00</t>
        </is>
      </c>
    </row>
    <row collapsed="false" customFormat="false" customHeight="false" hidden="false" ht="12.1" outlineLevel="0" r="165">
      <c r="A165" s="5" t="s">
        <f>=HYPERLINK("https://www.leilaoonline.net/lote/detalhe/171203", "154")</f>
      </c>
      <c r="B165" s="4" t="s">
        <f>=HYPERLINK("https://www.leilaoonline.net/lote/detalhe/171203", " Disjuntor caixa moldada 3 P - Marca: ABB SACE TMAX - Modelo TMAX - T 7 S 1250 1250A KA85 com Space PR 231/p - 2 peças")</f>
      </c>
      <c r="C165" s="4" t="inlineStr">
        <is>
          <t>Não vendido</t>
        </is>
      </c>
      <c r="D165" s="4" t="inlineStr">
        <is>
          <t>0</t>
        </is>
      </c>
      <c r="E165" s="5" t="inlineStr">
        <is>
          <t>5.000,00</t>
        </is>
      </c>
      <c r="F165" s="4" t="inlineStr">
        <is>
          <t>250.00</t>
        </is>
      </c>
    </row>
    <row collapsed="false" customFormat="false" customHeight="false" hidden="false" ht="12.1" outlineLevel="0" r="166">
      <c r="A166" s="5" t="s">
        <f>=HYPERLINK("https://www.leilaoonline.net/lote/detalhe/171205", "155")</f>
      </c>
      <c r="B166" s="4" t="s">
        <f>=HYPERLINK("https://www.leilaoonline.net/lote/detalhe/171205", " Disjuntor caixa moldada 3 P - Marca: ABB SACE TMAX - Modelo TMAX - T6N 630 630A KA70 - 2 peças")</f>
      </c>
      <c r="C166" s="4" t="inlineStr">
        <is>
          <t>Não vendido</t>
        </is>
      </c>
      <c r="D166" s="4" t="inlineStr">
        <is>
          <t>0</t>
        </is>
      </c>
      <c r="E166" s="5" t="inlineStr">
        <is>
          <t>2.520,00</t>
        </is>
      </c>
      <c r="F166" s="4" t="inlineStr">
        <is>
          <t>250.00</t>
        </is>
      </c>
    </row>
    <row collapsed="false" customFormat="false" customHeight="false" hidden="false" ht="12.1" outlineLevel="0" r="167">
      <c r="A167" s="5" t="s">
        <f>=HYPERLINK("https://www.leilaoonline.net/lote/detalhe/171204", "156")</f>
      </c>
      <c r="B167" s="4" t="s">
        <f>=HYPERLINK("https://www.leilaoonline.net/lote/detalhe/171204", " Disjuntor caixa moldada 3 P - Marca: ABB TMAX - Modelo SACE - T6N 1000 1000A KA70 com PR221DS e outro com PR222DS/P - 2 peças")</f>
      </c>
      <c r="C167" s="4" t="inlineStr">
        <is>
          <t>Não vendido</t>
        </is>
      </c>
      <c r="D167" s="4" t="inlineStr">
        <is>
          <t>0</t>
        </is>
      </c>
      <c r="E167" s="5" t="inlineStr">
        <is>
          <t>4.000,00</t>
        </is>
      </c>
      <c r="F167" s="4" t="inlineStr">
        <is>
          <t>250.00</t>
        </is>
      </c>
    </row>
    <row collapsed="false" customFormat="false" customHeight="false" hidden="false" ht="12.1" outlineLevel="0" r="168">
      <c r="A168" s="5" t="s">
        <f>=HYPERLINK("https://www.leilaoonline.net/lote/detalhe/171208", "157")</f>
      </c>
      <c r="B168" s="4" t="s">
        <f>=HYPERLINK("https://www.leilaoonline.net/lote/detalhe/171208", " Disjuntor caixa moldada 3 P - Marca: ABB SACE TMAX - Modelo TMAX T6N 1000 1000A KA70 com PR222DS/P - 2 peças")</f>
      </c>
      <c r="C168" s="4" t="inlineStr">
        <is>
          <t>Não vendido</t>
        </is>
      </c>
      <c r="D168" s="4" t="inlineStr">
        <is>
          <t>0</t>
        </is>
      </c>
      <c r="E168" s="5" t="inlineStr">
        <is>
          <t>4.000,00</t>
        </is>
      </c>
      <c r="F168" s="4" t="inlineStr">
        <is>
          <t>250.00</t>
        </is>
      </c>
    </row>
    <row collapsed="false" customFormat="false" customHeight="false" hidden="false" ht="12.1" outlineLevel="0" r="169">
      <c r="A169" s="5" t="s">
        <f>=HYPERLINK("https://www.leilaoonline.net/lote/detalhe/171207", "158")</f>
      </c>
      <c r="B169" s="4" t="s">
        <f>=HYPERLINK("https://www.leilaoonline.net/lote/detalhe/171207", " Disjuntor caixa moldada 3 P - Marca: ABB SACE TMAX - Modelo TMAX T6N 630 630A KA70 - 2 peças")</f>
      </c>
      <c r="C169" s="4" t="inlineStr">
        <is>
          <t>Não vendido</t>
        </is>
      </c>
      <c r="D169" s="4" t="inlineStr">
        <is>
          <t>0</t>
        </is>
      </c>
      <c r="E169" s="5" t="inlineStr">
        <is>
          <t>2.520,00</t>
        </is>
      </c>
      <c r="F169" s="4" t="inlineStr">
        <is>
          <t>250.00</t>
        </is>
      </c>
    </row>
    <row collapsed="false" customFormat="false" customHeight="false" hidden="false" ht="12.1" outlineLevel="0" r="170">
      <c r="A170" s="5" t="s">
        <f>=HYPERLINK("https://www.leilaoonline.net/lote/detalhe/171206", "159")</f>
      </c>
      <c r="B170" s="4" t="s">
        <f>=HYPERLINK("https://www.leilaoonline.net/lote/detalhe/171206", " Disjuntor caixa moldada 3 P - Marca: ABB SACE TMAX - Modelo TMAX T6N 630 630A KA70 - 2 peças")</f>
      </c>
      <c r="C170" s="4" t="inlineStr">
        <is>
          <t>Não vendido</t>
        </is>
      </c>
      <c r="D170" s="4" t="inlineStr">
        <is>
          <t>0</t>
        </is>
      </c>
      <c r="E170" s="5" t="inlineStr">
        <is>
          <t>2.520,00</t>
        </is>
      </c>
      <c r="F170" s="4" t="inlineStr">
        <is>
          <t>250.00</t>
        </is>
      </c>
    </row>
    <row collapsed="false" customFormat="false" customHeight="false" hidden="false" ht="12.1" outlineLevel="0" r="171">
      <c r="A171" s="5" t="s">
        <f>=HYPERLINK("https://www.leilaoonline.net/lote/detalhe/171210", "160")</f>
      </c>
      <c r="B171" s="4" t="s">
        <f>=HYPERLINK("https://www.leilaoonline.net/lote/detalhe/171210", " Disjuntor caixa aberta marca Power Break 11 GE - Modelo SSF16B216 1600A KA 85 - cod: 1750 2939 0700 103 - 1 peça")</f>
      </c>
      <c r="C171" s="4" t="inlineStr">
        <is>
          <t>Não vendido</t>
        </is>
      </c>
      <c r="D171" s="4" t="inlineStr">
        <is>
          <t>0</t>
        </is>
      </c>
      <c r="E171" s="5" t="inlineStr">
        <is>
          <t>2.000,00</t>
        </is>
      </c>
      <c r="F171" s="4" t="inlineStr">
        <is>
          <t>250.00</t>
        </is>
      </c>
    </row>
    <row collapsed="false" customFormat="false" customHeight="false" hidden="false" ht="12.1" outlineLevel="0" r="172">
      <c r="A172" s="5" t="s">
        <f>=HYPERLINK("https://www.leilaoonline.net/lote/detalhe/171213", "161")</f>
      </c>
      <c r="B172" s="4" t="s">
        <f>=HYPERLINK("https://www.leilaoonline.net/lote/detalhe/171213", " Chaves seccionadora dupla - Marca Holec - Modelo BB 22-1250/3 1250A - 1 peça")</f>
      </c>
      <c r="C172" s="4" t="inlineStr">
        <is>
          <t>Não vendido</t>
        </is>
      </c>
      <c r="D172" s="4" t="inlineStr">
        <is>
          <t>0</t>
        </is>
      </c>
      <c r="E172" s="5" t="inlineStr">
        <is>
          <t>4.000,00</t>
        </is>
      </c>
      <c r="F172" s="4" t="inlineStr">
        <is>
          <t>250.00</t>
        </is>
      </c>
    </row>
    <row collapsed="false" customFormat="false" customHeight="false" hidden="false" ht="12.1" outlineLevel="0" r="173">
      <c r="A173" s="5" t="s">
        <f>=HYPERLINK("https://www.leilaoonline.net/lote/detalhe/171209", "162")</f>
      </c>
      <c r="B173" s="4" t="s">
        <f>=HYPERLINK("https://www.leilaoonline.net/lote/detalhe/171209", " Disjuntor caixa moldada 3P - Marca Merlin Gerin compact - Modelo C801N 800A KA85 com STR 25DE - 4 peças")</f>
      </c>
      <c r="C173" s="4" t="inlineStr">
        <is>
          <t>Não vendido</t>
        </is>
      </c>
      <c r="D173" s="4" t="inlineStr">
        <is>
          <t>0</t>
        </is>
      </c>
      <c r="E173" s="5" t="inlineStr">
        <is>
          <t>6.000,00</t>
        </is>
      </c>
      <c r="F173" s="4" t="inlineStr">
        <is>
          <t>250.00</t>
        </is>
      </c>
    </row>
    <row collapsed="false" customFormat="false" customHeight="false" hidden="false" ht="12.1" outlineLevel="0" r="174">
      <c r="A174" s="5" t="s">
        <f>=HYPERLINK("https://www.leilaoonline.net/lote/detalhe/171212", "163")</f>
      </c>
      <c r="B174" s="4" t="s">
        <f>=HYPERLINK("https://www.leilaoonline.net/lote/detalhe/171212", " Disjuntor caixa aberta - Marca Merlin Gerin Masterpact - Modelo M20 H1 - 2000A KA75 com STR 38 S - 1 peça")</f>
      </c>
      <c r="C174" s="4" t="inlineStr">
        <is>
          <t>Não vendido</t>
        </is>
      </c>
      <c r="D174" s="4" t="inlineStr">
        <is>
          <t>0</t>
        </is>
      </c>
      <c r="E174" s="5" t="inlineStr">
        <is>
          <t>4.000,00</t>
        </is>
      </c>
      <c r="F174" s="4" t="inlineStr">
        <is>
          <t>250.00</t>
        </is>
      </c>
    </row>
    <row collapsed="false" customFormat="false" customHeight="false" hidden="false" ht="12.1" outlineLevel="0" r="175">
      <c r="A175" s="5" t="s">
        <f>=HYPERLINK("https://www.leilaoonline.net/lote/detalhe/171214", "164")</f>
      </c>
      <c r="B175" s="4" t="s">
        <f>=HYPERLINK("https://www.leilaoonline.net/lote/detalhe/171214", " Disjuntor caixa aberta - Marca Merlin Gerin Masterpact - Modelo M16 H1 - 1600A KA65 com STR 38 S - 1 peça")</f>
      </c>
      <c r="C175" s="4" t="inlineStr">
        <is>
          <t>Não vendido</t>
        </is>
      </c>
      <c r="D175" s="4" t="inlineStr">
        <is>
          <t>0</t>
        </is>
      </c>
      <c r="E175" s="5" t="inlineStr">
        <is>
          <t>3.200,00</t>
        </is>
      </c>
      <c r="F175" s="4" t="inlineStr">
        <is>
          <t>250.00</t>
        </is>
      </c>
    </row>
    <row collapsed="false" customFormat="false" customHeight="false" hidden="false" ht="12.1" outlineLevel="0" r="176">
      <c r="A176" s="5" t="s">
        <f>=HYPERLINK("https://www.leilaoonline.net/lote/detalhe/171211", "165")</f>
      </c>
      <c r="B176" s="4" t="s">
        <f>=HYPERLINK("https://www.leilaoonline.net/lote/detalhe/171211", " Disjuntor caixa aberta - Marca Merlin Gerin Masterpact - Modelo M20 H1 - 2000A KA75 com STR 38 S - 1 peça")</f>
      </c>
      <c r="C176" s="4" t="inlineStr">
        <is>
          <t>Não vendido</t>
        </is>
      </c>
      <c r="D176" s="4" t="inlineStr">
        <is>
          <t>0</t>
        </is>
      </c>
      <c r="E176" s="5" t="inlineStr">
        <is>
          <t>4.000,00</t>
        </is>
      </c>
      <c r="F176" s="4" t="inlineStr">
        <is>
          <t>250.00</t>
        </is>
      </c>
    </row>
    <row collapsed="false" customFormat="false" customHeight="false" hidden="false" ht="12.1" outlineLevel="0" r="177">
      <c r="A177" s="5" t="s">
        <f>=HYPERLINK("https://www.leilaoonline.net/lote/detalhe/171216", "166")</f>
      </c>
      <c r="B177" s="4" t="s">
        <f>=HYPERLINK("https://www.leilaoonline.net/lote/detalhe/171216", " Disjuntor caixa aberta - Marca Merlin Gerin Masterpact - Modelo M08 H1 - 630A KA65 com STR 38 S - 1 peça")</f>
      </c>
      <c r="C177" s="4" t="inlineStr">
        <is>
          <t>Não vendido</t>
        </is>
      </c>
      <c r="D177" s="4" t="inlineStr">
        <is>
          <t>0</t>
        </is>
      </c>
      <c r="E177" s="5" t="inlineStr">
        <is>
          <t>1.260,00</t>
        </is>
      </c>
      <c r="F177" s="4" t="inlineStr">
        <is>
          <t>150.00</t>
        </is>
      </c>
    </row>
    <row collapsed="false" customFormat="false" customHeight="false" hidden="false" ht="12.1" outlineLevel="0" r="178">
      <c r="A178" s="5" t="s">
        <f>=HYPERLINK("https://www.leilaoonline.net/lote/detalhe/171215", "167")</f>
      </c>
      <c r="B178" s="4" t="s">
        <f>=HYPERLINK("https://www.leilaoonline.net/lote/detalhe/171215", " Disjuntor caixa aberta - Marca Merlin Gerin Masterpact - Modelo M16 H1 - 1600A KA65 com STR 38 S - 1 peça")</f>
      </c>
      <c r="C178" s="4" t="inlineStr">
        <is>
          <t>Não vendido</t>
        </is>
      </c>
      <c r="D178" s="4" t="inlineStr">
        <is>
          <t>0</t>
        </is>
      </c>
      <c r="E178" s="5" t="inlineStr">
        <is>
          <t>3.200,00</t>
        </is>
      </c>
      <c r="F178" s="4" t="inlineStr">
        <is>
          <t>250.00</t>
        </is>
      </c>
    </row>
    <row collapsed="false" customFormat="false" customHeight="false" hidden="false" ht="12.1" outlineLevel="0" r="179">
      <c r="A179" s="5" t="s">
        <f>=HYPERLINK("https://www.leilaoonline.net/lote/detalhe/171217", "168")</f>
      </c>
      <c r="B179" s="4" t="s">
        <f>=HYPERLINK("https://www.leilaoonline.net/lote/detalhe/171217", " Disjuntor caixa aberta - Marca Merlin Gerin Masterpact - Modelo M20 H1 - 2000A KA75 com STR 38 S - 1 peça")</f>
      </c>
      <c r="C179" s="4" t="inlineStr">
        <is>
          <t>Não vendido</t>
        </is>
      </c>
      <c r="D179" s="4" t="inlineStr">
        <is>
          <t>0</t>
        </is>
      </c>
      <c r="E179" s="5" t="inlineStr">
        <is>
          <t>4.000,00</t>
        </is>
      </c>
      <c r="F179" s="4" t="inlineStr">
        <is>
          <t>250.00</t>
        </is>
      </c>
    </row>
    <row collapsed="false" customFormat="false" customHeight="false" hidden="false" ht="12.1" outlineLevel="0" r="180">
      <c r="A180" s="5" t="s">
        <f>=HYPERLINK("https://www.leilaoonline.net/lote/detalhe/171218", "169")</f>
      </c>
      <c r="B180" s="4" t="s">
        <f>=HYPERLINK("https://www.leilaoonline.net/lote/detalhe/171218", " Disjuntor caixa aberta - Marca Merlin Gerin Masterpact - Modelo M16 H1 - 1600A KA65 com STR 38 S - 1 peça")</f>
      </c>
      <c r="C180" s="4" t="inlineStr">
        <is>
          <t>Não vendido</t>
        </is>
      </c>
      <c r="D180" s="4" t="inlineStr">
        <is>
          <t>0</t>
        </is>
      </c>
      <c r="E180" s="5" t="inlineStr">
        <is>
          <t>3.200,00</t>
        </is>
      </c>
      <c r="F180" s="4" t="inlineStr">
        <is>
          <t>250.00</t>
        </is>
      </c>
    </row>
    <row collapsed="false" customFormat="false" customHeight="false" hidden="false" ht="12.1" outlineLevel="0" r="181">
      <c r="A181" s="5" t="s">
        <f>=HYPERLINK("https://www.leilaoonline.net/lote/detalhe/171220", "170")</f>
      </c>
      <c r="B181" s="4" t="s">
        <f>=HYPERLINK("https://www.leilaoonline.net/lote/detalhe/171220", " Disjuntor caixa aberta - Marca Merlin Gerin Masterpact - Modelo M20 H1 - 2000A KA75 com STR 38 S - 1 peça")</f>
      </c>
      <c r="C181" s="4" t="inlineStr">
        <is>
          <t>Não vendido</t>
        </is>
      </c>
      <c r="D181" s="4" t="inlineStr">
        <is>
          <t>0</t>
        </is>
      </c>
      <c r="E181" s="5" t="inlineStr">
        <is>
          <t>4.000,00</t>
        </is>
      </c>
      <c r="F181" s="4" t="inlineStr">
        <is>
          <t>250.00</t>
        </is>
      </c>
    </row>
    <row collapsed="false" customFormat="false" customHeight="false" hidden="false" ht="12.1" outlineLevel="0" r="182">
      <c r="A182" s="5" t="s">
        <f>=HYPERLINK("https://www.leilaoonline.net/lote/detalhe/171219", "171")</f>
      </c>
      <c r="B182" s="4" t="s">
        <f>=HYPERLINK("https://www.leilaoonline.net/lote/detalhe/171219", " Disjuntor caixa aberta - Marca Merlin Gerin Masterpact - Modelo M08 H1 - 630A KA65 com STR 38 S - 1 peça")</f>
      </c>
      <c r="C182" s="4" t="inlineStr">
        <is>
          <t>Não vendido</t>
        </is>
      </c>
      <c r="D182" s="4" t="inlineStr">
        <is>
          <t>0</t>
        </is>
      </c>
      <c r="E182" s="5" t="inlineStr">
        <is>
          <t>1.260,00</t>
        </is>
      </c>
      <c r="F182" s="4" t="inlineStr">
        <is>
          <t>150.00</t>
        </is>
      </c>
    </row>
    <row collapsed="false" customFormat="false" customHeight="false" hidden="false" ht="12.1" outlineLevel="0" r="183">
      <c r="A183" s="5" t="s">
        <f>=HYPERLINK("https://www.leilaoonline.net/lote/detalhe/171222", "172")</f>
      </c>
      <c r="B183" s="4" t="s">
        <f>=HYPERLINK("https://www.leilaoonline.net/lote/detalhe/171222", " Disjuntor caixa aberta - Marca Merlin Gerin Masterpact - Modelo M08 H1 - 630A KA65 com STR 38 S - 1 peça")</f>
      </c>
      <c r="C183" s="4" t="inlineStr">
        <is>
          <t>Não vendido</t>
        </is>
      </c>
      <c r="D183" s="4" t="inlineStr">
        <is>
          <t>0</t>
        </is>
      </c>
      <c r="E183" s="5" t="inlineStr">
        <is>
          <t>1.260,00</t>
        </is>
      </c>
      <c r="F183" s="4" t="inlineStr">
        <is>
          <t>150.00</t>
        </is>
      </c>
    </row>
    <row collapsed="false" customFormat="false" customHeight="false" hidden="false" ht="12.1" outlineLevel="0" r="184">
      <c r="A184" s="5" t="s">
        <f>=HYPERLINK("https://www.leilaoonline.net/lote/detalhe/171221", "173")</f>
      </c>
      <c r="B184" s="4" t="s">
        <f>=HYPERLINK("https://www.leilaoonline.net/lote/detalhe/171221", " Disjuntor caixa aberta - Marca Beghim ind. S.A - Série Dimatic - Tipo DM(3) - N⁰ 35628 3200A KA75 com relé de sobrecorrente intervenção tipo (CT) IN 3200 N⁰ 37,693 - 1 peça")</f>
      </c>
      <c r="C184" s="4" t="inlineStr">
        <is>
          <t>Não vendido</t>
        </is>
      </c>
      <c r="D184" s="4" t="inlineStr">
        <is>
          <t>0</t>
        </is>
      </c>
      <c r="E184" s="5" t="inlineStr">
        <is>
          <t>6.000,00</t>
        </is>
      </c>
      <c r="F184" s="4" t="inlineStr">
        <is>
          <t>250.00</t>
        </is>
      </c>
    </row>
    <row collapsed="false" customFormat="false" customHeight="false" hidden="false" ht="12.1" outlineLevel="0" r="185">
      <c r="A185" s="5" t="s">
        <f>=HYPERLINK("https://www.leilaoonline.net/lote/detalhe/171224", "174")</f>
      </c>
      <c r="B185" s="4" t="s">
        <f>=HYPERLINK("https://www.leilaoonline.net/lote/detalhe/171224", " Disjuntor caixa aberta - Marca Beghim ind. S.A - Série Dimatic - Tipo DM(3) - N⁰ 20276 3200A KA75 com relé de sobrecorrente intervenção tipo (OT) IN 3200 N⁰ 18831 - 1 peça")</f>
      </c>
      <c r="C185" s="4" t="inlineStr">
        <is>
          <t>Não vendido</t>
        </is>
      </c>
      <c r="D185" s="4" t="inlineStr">
        <is>
          <t>0</t>
        </is>
      </c>
      <c r="E185" s="5" t="inlineStr">
        <is>
          <t>6.000,00</t>
        </is>
      </c>
      <c r="F185" s="4" t="inlineStr">
        <is>
          <t>250.00</t>
        </is>
      </c>
    </row>
    <row collapsed="false" customFormat="false" customHeight="false" hidden="false" ht="12.1" outlineLevel="0" r="186">
      <c r="A186" s="5" t="s">
        <f>=HYPERLINK("https://www.leilaoonline.net/lote/detalhe/171225", "175")</f>
      </c>
      <c r="B186" s="4" t="s">
        <f>=HYPERLINK("https://www.leilaoonline.net/lote/detalhe/171225", " Disjuntor caixa aberta - Marca Beghim ind. S.A - Série Dimatic - Tipo DM(1) - N⁰ 32859 1600A KA50 com relé de sobrecorrente intervenção tipo (CI) IN 1600 N⁰ 34348 - 1 peça")</f>
      </c>
      <c r="C186" s="4" t="inlineStr">
        <is>
          <t>Não vendido</t>
        </is>
      </c>
      <c r="D186" s="4" t="inlineStr">
        <is>
          <t>0</t>
        </is>
      </c>
      <c r="E186" s="5" t="inlineStr">
        <is>
          <t>3.000,00</t>
        </is>
      </c>
      <c r="F186" s="4" t="inlineStr">
        <is>
          <t>250.00</t>
        </is>
      </c>
    </row>
    <row collapsed="false" customFormat="false" customHeight="false" hidden="false" ht="12.1" outlineLevel="0" r="187">
      <c r="A187" s="5" t="s">
        <f>=HYPERLINK("https://www.leilaoonline.net/lote/detalhe/171223", "176")</f>
      </c>
      <c r="B187" s="4" t="s">
        <f>=HYPERLINK("https://www.leilaoonline.net/lote/detalhe/171223", " Disjuntor caixa aberta - Marca Beghim ind. S.A - Série Dimatic - Tipo DM(1) - N⁰ 32860 1600A KA50 com relé de sobrecorrente intervenção tipo (CI) IN 1600 N⁰ 34349 - 1 peça")</f>
      </c>
      <c r="C187" s="4" t="inlineStr">
        <is>
          <t>Não vendido</t>
        </is>
      </c>
      <c r="D187" s="4" t="inlineStr">
        <is>
          <t>0</t>
        </is>
      </c>
      <c r="E187" s="5" t="inlineStr">
        <is>
          <t>3.000,00</t>
        </is>
      </c>
      <c r="F187" s="4" t="inlineStr">
        <is>
          <t>250.00</t>
        </is>
      </c>
    </row>
    <row collapsed="false" customFormat="false" customHeight="false" hidden="false" ht="12.1" outlineLevel="0" r="188">
      <c r="A188" s="5" t="s">
        <f>=HYPERLINK("https://www.leilaoonline.net/lote/detalhe/171227", "177")</f>
      </c>
      <c r="B188" s="4" t="s">
        <f>=HYPERLINK("https://www.leilaoonline.net/lote/detalhe/171227", " Disjuntor caixa aberta - Marca Beghim ind. S.A - Série Dimatic - Tipo DM(3) - N⁰ 24377 3200A KA75 com relé de sobrecorrente intervenção tipo (CT) IN 3200 N⁰ 25592 - 1 peça")</f>
      </c>
      <c r="C188" s="4" t="inlineStr">
        <is>
          <t>Não vendido</t>
        </is>
      </c>
      <c r="D188" s="4" t="inlineStr">
        <is>
          <t>0</t>
        </is>
      </c>
      <c r="E188" s="5" t="inlineStr">
        <is>
          <t>6.000,00</t>
        </is>
      </c>
      <c r="F188" s="4" t="inlineStr">
        <is>
          <t>250.00</t>
        </is>
      </c>
    </row>
    <row collapsed="false" customFormat="false" customHeight="false" hidden="false" ht="12.1" outlineLevel="0" r="189">
      <c r="A189" s="5" t="s">
        <f>=HYPERLINK("https://www.leilaoonline.net/lote/detalhe/171228", "178")</f>
      </c>
      <c r="B189" s="4" t="s">
        <f>=HYPERLINK("https://www.leilaoonline.net/lote/detalhe/171228", " Disjuntor caixa aberta - Marca ABB Sace F4 - Modelo: Sace F4 F45 3200A KA75 com Sace AR1 - 1 peça")</f>
      </c>
      <c r="C189" s="4" t="inlineStr">
        <is>
          <t>Não vendido</t>
        </is>
      </c>
      <c r="D189" s="4" t="inlineStr">
        <is>
          <t>0</t>
        </is>
      </c>
      <c r="E189" s="5" t="inlineStr">
        <is>
          <t>10.000,00</t>
        </is>
      </c>
      <c r="F189" s="4" t="inlineStr">
        <is>
          <t>250.00</t>
        </is>
      </c>
    </row>
    <row collapsed="false" customFormat="false" customHeight="false" hidden="false" ht="12.1" outlineLevel="0" r="190">
      <c r="A190" s="5" t="s">
        <f>=HYPERLINK("https://www.leilaoonline.net/lote/detalhe/171226", "179")</f>
      </c>
      <c r="B190" s="4" t="s">
        <f>=HYPERLINK("https://www.leilaoonline.net/lote/detalhe/171226", " Disjuntor caixa aberta - Marca ABB Sace F2 - Modelo: Sace F2 F25 3000A KA65 com Sace AR1 - 1 peça")</f>
      </c>
      <c r="C190" s="4" t="inlineStr">
        <is>
          <t>Não vendido</t>
        </is>
      </c>
      <c r="D190" s="4" t="inlineStr">
        <is>
          <t>0</t>
        </is>
      </c>
      <c r="E190" s="5" t="inlineStr">
        <is>
          <t>6.000,00</t>
        </is>
      </c>
      <c r="F190" s="4" t="inlineStr">
        <is>
          <t>250.00</t>
        </is>
      </c>
    </row>
    <row collapsed="false" customFormat="false" customHeight="false" hidden="false" ht="12.1" outlineLevel="0" r="191">
      <c r="A191" s="5" t="s">
        <f>=HYPERLINK("https://www.leilaoonline.net/lote/detalhe/171229", "180")</f>
      </c>
      <c r="B191" s="4" t="s">
        <f>=HYPERLINK("https://www.leilaoonline.net/lote/detalhe/171229", " Disjuntor caixa aberta - Marca Merlin Gerin Masterpact - Modelo M20 H1 - 2000A KA75 com ST 208 D - 1 peça")</f>
      </c>
      <c r="C191" s="4" t="inlineStr">
        <is>
          <t>Não vendido</t>
        </is>
      </c>
      <c r="D191" s="4" t="inlineStr">
        <is>
          <t>0</t>
        </is>
      </c>
      <c r="E191" s="5" t="inlineStr">
        <is>
          <t>4.000,00</t>
        </is>
      </c>
      <c r="F191" s="4" t="inlineStr">
        <is>
          <t>250.00</t>
        </is>
      </c>
    </row>
    <row collapsed="false" customFormat="false" customHeight="false" hidden="false" ht="12.1" outlineLevel="0" r="192">
      <c r="A192" s="5" t="s">
        <f>=HYPERLINK("https://www.leilaoonline.net/lote/detalhe/171230", "181")</f>
      </c>
      <c r="B192" s="4" t="s">
        <f>=HYPERLINK("https://www.leilaoonline.net/lote/detalhe/171230", " Disjuntor caixa aberta - Marca Beghim ind. S.A - Série Dimatic - Tipo DM(3) - N⁰ 24146 3200A KA75 com relé de sobrecorrente intervenção tipo (CT) IN 3200 N⁰ 24534 - 1 peça")</f>
      </c>
      <c r="C192" s="4" t="inlineStr">
        <is>
          <t>Não vendido</t>
        </is>
      </c>
      <c r="D192" s="4" t="inlineStr">
        <is>
          <t>0</t>
        </is>
      </c>
      <c r="E192" s="5" t="inlineStr">
        <is>
          <t>6.000,00</t>
        </is>
      </c>
      <c r="F192" s="4" t="inlineStr">
        <is>
          <t>250.00</t>
        </is>
      </c>
    </row>
    <row collapsed="false" customFormat="false" customHeight="false" hidden="false" ht="12.1" outlineLevel="0" r="193">
      <c r="A193" s="5" t="s">
        <f>=HYPERLINK("https://www.leilaoonline.net/lote/detalhe/171231", "182")</f>
      </c>
      <c r="B193" s="4" t="s">
        <f>=HYPERLINK("https://www.leilaoonline.net/lote/detalhe/171231", " Disjuntor caixa aberta Seccionadora - Marca Merlin Gerin Masterpact - Modelo M20 HF - 2000A KA75 com ST 008 - 1 peça")</f>
      </c>
      <c r="C193" s="4" t="inlineStr">
        <is>
          <t>Não vendido</t>
        </is>
      </c>
      <c r="D193" s="4" t="inlineStr">
        <is>
          <t>0</t>
        </is>
      </c>
      <c r="E193" s="5" t="inlineStr">
        <is>
          <t>2.500,00</t>
        </is>
      </c>
      <c r="F193" s="4" t="inlineStr">
        <is>
          <t>250.00</t>
        </is>
      </c>
    </row>
    <row collapsed="false" customFormat="false" customHeight="false" hidden="false" ht="12.1" outlineLevel="0" r="194">
      <c r="A194" s="5" t="s">
        <f>=HYPERLINK("https://www.leilaoonline.net/lote/detalhe/171233", "183")</f>
      </c>
      <c r="B194" s="4" t="s">
        <f>=HYPERLINK("https://www.leilaoonline.net/lote/detalhe/171233", " Disjuntores caixa aberta marca ABB Sace E1 modelo Sace EB12 1250A - KA40 com Sace - PR 111/p NR D 1118TO6A - 1 peça")</f>
      </c>
      <c r="C194" s="4" t="inlineStr">
        <is>
          <t>Não vendido</t>
        </is>
      </c>
      <c r="D194" s="4" t="inlineStr">
        <is>
          <t>0</t>
        </is>
      </c>
      <c r="E194" s="5" t="inlineStr">
        <is>
          <t>2.500,00</t>
        </is>
      </c>
      <c r="F194" s="4" t="inlineStr">
        <is>
          <t>250.00</t>
        </is>
      </c>
    </row>
    <row collapsed="false" customFormat="false" customHeight="false" hidden="false" ht="12.1" outlineLevel="0" r="195">
      <c r="A195" s="5" t="s">
        <f>=HYPERLINK("https://www.leilaoonline.net/lote/detalhe/171232", "184")</f>
      </c>
      <c r="B195" s="4" t="s">
        <f>=HYPERLINK("https://www.leilaoonline.net/lote/detalhe/171232", " Disjuntores caixa aberta marca ABB Sace E1 modelo Sace E1B 12 - 1250A - KA42 com Sace - PR 121/p NR D 13Z030QO7A - 1 peça")</f>
      </c>
      <c r="C195" s="4" t="inlineStr">
        <is>
          <t>Não vendido</t>
        </is>
      </c>
      <c r="D195" s="4" t="inlineStr">
        <is>
          <t>0</t>
        </is>
      </c>
      <c r="E195" s="5" t="inlineStr">
        <is>
          <t>2.500,00</t>
        </is>
      </c>
      <c r="F195" s="4" t="inlineStr">
        <is>
          <t>250.00</t>
        </is>
      </c>
    </row>
    <row collapsed="false" customFormat="false" customHeight="false" hidden="false" ht="12.1" outlineLevel="0" r="196">
      <c r="A196" s="5" t="s">
        <f>=HYPERLINK("https://www.leilaoonline.net/lote/detalhe/171234", "185")</f>
      </c>
      <c r="B196" s="4" t="s">
        <f>=HYPERLINK("https://www.leilaoonline.net/lote/detalhe/171234", " Disjuntores caixa aberta - Marca ABB Sace F1 Modelo F1S - 1600A - KA50 com Sace - AR1 - 1 peça")</f>
      </c>
      <c r="C196" s="4" t="inlineStr">
        <is>
          <t>Não vendido</t>
        </is>
      </c>
      <c r="D196" s="4" t="inlineStr">
        <is>
          <t>0</t>
        </is>
      </c>
      <c r="E196" s="5" t="inlineStr">
        <is>
          <t>3.200,00</t>
        </is>
      </c>
      <c r="F196" s="4" t="inlineStr">
        <is>
          <t>250.00</t>
        </is>
      </c>
    </row>
    <row collapsed="false" customFormat="false" customHeight="false" hidden="false" ht="12.1" outlineLevel="0" r="197">
      <c r="A197" s="5" t="s">
        <f>=HYPERLINK("https://www.leilaoonline.net/lote/detalhe/171235", "186")</f>
      </c>
      <c r="B197" s="4" t="s">
        <f>=HYPERLINK("https://www.leilaoonline.net/lote/detalhe/171235", " Disjuntores caixa aberta - Marca ABB Sace F1 Modelo F15 - 1600A - KA50 com Sace - AR1 - 1 peça")</f>
      </c>
      <c r="C197" s="4" t="inlineStr">
        <is>
          <t>Não vendido</t>
        </is>
      </c>
      <c r="D197" s="4" t="inlineStr">
        <is>
          <t>0</t>
        </is>
      </c>
      <c r="E197" s="5" t="inlineStr">
        <is>
          <t>3.200,00</t>
        </is>
      </c>
      <c r="F197" s="4" t="inlineStr">
        <is>
          <t>250.00</t>
        </is>
      </c>
    </row>
    <row collapsed="false" customFormat="false" customHeight="false" hidden="false" ht="12.1" outlineLevel="0" r="198">
      <c r="A198" s="5" t="s">
        <f>=HYPERLINK("https://www.leilaoonline.net/lote/detalhe/171237", "187")</f>
      </c>
      <c r="B198" s="4" t="s">
        <f>=HYPERLINK("https://www.leilaoonline.net/lote/detalhe/171237", " Disjuntores caixa aberta - Marca ABB Sace F1 Modelo F1B - 1250A - KA50 com Sace - AR1 - 1 peça")</f>
      </c>
      <c r="C198" s="4" t="inlineStr">
        <is>
          <t>Não vendido</t>
        </is>
      </c>
      <c r="D198" s="4" t="inlineStr">
        <is>
          <t>0</t>
        </is>
      </c>
      <c r="E198" s="5" t="inlineStr">
        <is>
          <t>2.500,00</t>
        </is>
      </c>
      <c r="F198" s="4" t="inlineStr">
        <is>
          <t>250.00</t>
        </is>
      </c>
    </row>
    <row collapsed="false" customFormat="false" customHeight="false" hidden="false" ht="12.1" outlineLevel="0" r="199">
      <c r="A199" s="5" t="s">
        <f>=HYPERLINK("https://www.leilaoonline.net/lote/detalhe/171238", "188")</f>
      </c>
      <c r="B199" s="4" t="s">
        <f>=HYPERLINK("https://www.leilaoonline.net/lote/detalhe/171238", " Disjuntor caixa aberta - Marca Beghim ind. S.A - Série Dimatic - Tipo DM(1) - N⁰ 165603 1600A KA50 com relé de sobrecorrente intervenção tipo (CT) IN 1250 N⁰ 16566 - 1 peça")</f>
      </c>
      <c r="C199" s="4" t="inlineStr">
        <is>
          <t>Não vendido</t>
        </is>
      </c>
      <c r="D199" s="4" t="inlineStr">
        <is>
          <t>0</t>
        </is>
      </c>
      <c r="E199" s="5" t="inlineStr">
        <is>
          <t>3.000,00</t>
        </is>
      </c>
      <c r="F199" s="4" t="inlineStr">
        <is>
          <t>250.00</t>
        </is>
      </c>
    </row>
    <row collapsed="false" customFormat="false" customHeight="false" hidden="false" ht="12.1" outlineLevel="0" r="200">
      <c r="A200" s="5" t="s">
        <f>=HYPERLINK("https://www.leilaoonline.net/lote/detalhe/171239", "189")</f>
      </c>
      <c r="B200" s="4" t="s">
        <f>=HYPERLINK("https://www.leilaoonline.net/lote/detalhe/171239", " Disjuntor caixa aberta - Marca Cubiclebus Siemens - Modelo W2113200N 3200A KA66 com ETU25B - 1 peça")</f>
      </c>
      <c r="C200" s="4" t="inlineStr">
        <is>
          <t>Não vendido</t>
        </is>
      </c>
      <c r="D200" s="4" t="inlineStr">
        <is>
          <t>0</t>
        </is>
      </c>
      <c r="E200" s="5" t="inlineStr">
        <is>
          <t>15.000,00</t>
        </is>
      </c>
      <c r="F200" s="4" t="inlineStr">
        <is>
          <t>500.00</t>
        </is>
      </c>
    </row>
    <row collapsed="false" customFormat="false" customHeight="false" hidden="false" ht="12.1" outlineLevel="0" r="201">
      <c r="A201" s="5" t="s">
        <f>=HYPERLINK("https://www.leilaoonline.net/lote/detalhe/171236", "190")</f>
      </c>
      <c r="B201" s="4" t="s">
        <f>=HYPERLINK("https://www.leilaoonline.net/lote/detalhe/171236", " Disjuntor caixa aberta - Marca Intebradted Cubiclebus Siemens - Modelo WLL3F340 4000A KA100 com ETU745 - 1 peça")</f>
      </c>
      <c r="C201" s="4" t="inlineStr">
        <is>
          <t>Não vendido</t>
        </is>
      </c>
      <c r="D201" s="4" t="inlineStr">
        <is>
          <t>0</t>
        </is>
      </c>
      <c r="E201" s="5" t="inlineStr">
        <is>
          <t>20.000,00</t>
        </is>
      </c>
      <c r="F201" s="4" t="inlineStr">
        <is>
          <t>500.00</t>
        </is>
      </c>
    </row>
    <row collapsed="false" customFormat="false" customHeight="false" hidden="false" ht="12.1" outlineLevel="0" r="202">
      <c r="A202" s="5" t="s">
        <f>=HYPERLINK("https://www.leilaoonline.net/lote/detalhe/171240", "191")</f>
      </c>
      <c r="B202" s="4" t="s">
        <f>=HYPERLINK("https://www.leilaoonline.net/lote/detalhe/171240", " Disjuntor caixa aberta - Marca Beghim ind. S.A - Série Dimatic - Tipo DM(1) - N⁰ 20334 800A KA50 com relé de sobrecorrente intervenção tipo (OT) IN 800 N⁰ 20479 - 1 peça")</f>
      </c>
      <c r="C202" s="4" t="inlineStr">
        <is>
          <t>Não vendido</t>
        </is>
      </c>
      <c r="D202" s="4" t="inlineStr">
        <is>
          <t>0</t>
        </is>
      </c>
      <c r="E202" s="5" t="inlineStr">
        <is>
          <t>1.600,00</t>
        </is>
      </c>
      <c r="F202" s="4" t="inlineStr">
        <is>
          <t>250.00</t>
        </is>
      </c>
    </row>
    <row collapsed="false" customFormat="false" customHeight="false" hidden="false" ht="12.1" outlineLevel="0" r="203">
      <c r="A203" s="5" t="s">
        <f>=HYPERLINK("https://www.leilaoonline.net/lote/detalhe/171241", "192")</f>
      </c>
      <c r="B203" s="4" t="s">
        <f>=HYPERLINK("https://www.leilaoonline.net/lote/detalhe/171241", " Disjuntor caixa aberta - Marca Beghim ind. S.A - Série Dimatic - Tipo DM(1) - N⁰ 20333 1250A KA50 com relé de sobrecorrente intervenção tipo (OT) IN 800 N⁰ 20491 - IN 1250 - 1 peça")</f>
      </c>
      <c r="C203" s="4" t="inlineStr">
        <is>
          <t>Não vendido</t>
        </is>
      </c>
      <c r="D203" s="4" t="inlineStr">
        <is>
          <t>0</t>
        </is>
      </c>
      <c r="E203" s="5" t="inlineStr">
        <is>
          <t>2.500,00</t>
        </is>
      </c>
      <c r="F203" s="4" t="inlineStr">
        <is>
          <t>250.00</t>
        </is>
      </c>
    </row>
    <row collapsed="false" customFormat="false" customHeight="false" hidden="false" ht="12.1" outlineLevel="0" r="204">
      <c r="A204" s="5" t="s">
        <f>=HYPERLINK("https://www.leilaoonline.net/lote/detalhe/171244", "193")</f>
      </c>
      <c r="B204" s="4" t="s">
        <f>=HYPERLINK("https://www.leilaoonline.net/lote/detalhe/171244", " Disjuntores caixa aberta - Marca ABB Sace F1 Modelo F15 - 1600A - KA50 com Sace - AR1 - 1 peça")</f>
      </c>
      <c r="C204" s="4" t="inlineStr">
        <is>
          <t>Não vendido</t>
        </is>
      </c>
      <c r="D204" s="4" t="inlineStr">
        <is>
          <t>0</t>
        </is>
      </c>
      <c r="E204" s="5" t="inlineStr">
        <is>
          <t>3.200,00</t>
        </is>
      </c>
      <c r="F204" s="4" t="inlineStr">
        <is>
          <t>250.00</t>
        </is>
      </c>
    </row>
    <row collapsed="false" customFormat="false" customHeight="false" hidden="false" ht="12.1" outlineLevel="0" r="205">
      <c r="A205" s="5" t="s">
        <f>=HYPERLINK("https://www.leilaoonline.net/lote/detalhe/171242", "194")</f>
      </c>
      <c r="B205" s="4" t="s">
        <f>=HYPERLINK("https://www.leilaoonline.net/lote/detalhe/171242", " Disjuntores caixa aberta - Marca ABB Sace F1 Modelo F15 - 1600A - KA50 com Sace - AR1 - 1 peça")</f>
      </c>
      <c r="C205" s="4" t="inlineStr">
        <is>
          <t>Não vendido</t>
        </is>
      </c>
      <c r="D205" s="4" t="inlineStr">
        <is>
          <t>0</t>
        </is>
      </c>
      <c r="E205" s="5" t="inlineStr">
        <is>
          <t>3.200,00</t>
        </is>
      </c>
      <c r="F205" s="4" t="inlineStr">
        <is>
          <t>250.00</t>
        </is>
      </c>
    </row>
    <row collapsed="false" customFormat="false" customHeight="false" hidden="false" ht="12.1" outlineLevel="0" r="206">
      <c r="A206" s="5" t="s">
        <f>=HYPERLINK("https://www.leilaoonline.net/lote/detalhe/171243", "195")</f>
      </c>
      <c r="B206" s="4" t="s">
        <f>=HYPERLINK("https://www.leilaoonline.net/lote/detalhe/171243", " Disjuntores caixa aberta - Marca ABB Sace F1 Modelo F1B - 2000A - KA50 com Sace - AR1 - 1 peça")</f>
      </c>
      <c r="C206" s="4" t="inlineStr">
        <is>
          <t>Não vendido</t>
        </is>
      </c>
      <c r="D206" s="4" t="inlineStr">
        <is>
          <t>0</t>
        </is>
      </c>
      <c r="E206" s="5" t="inlineStr">
        <is>
          <t>4.000,00</t>
        </is>
      </c>
      <c r="F206" s="4" t="inlineStr">
        <is>
          <t>250.00</t>
        </is>
      </c>
    </row>
    <row collapsed="false" customFormat="false" customHeight="false" hidden="false" ht="12.1" outlineLevel="0" r="207">
      <c r="A207" s="5" t="s">
        <f>=HYPERLINK("https://www.leilaoonline.net/lote/detalhe/171245", "196")</f>
      </c>
      <c r="B207" s="4" t="s">
        <f>=HYPERLINK("https://www.leilaoonline.net/lote/detalhe/171245", " Disjuntores caixa aberta - Marca ABB Sace F1 Modelo F15 - 1600A - KA50 com Sace - AR1 - 1 peça")</f>
      </c>
      <c r="C207" s="4" t="inlineStr">
        <is>
          <t>Não vendido</t>
        </is>
      </c>
      <c r="D207" s="4" t="inlineStr">
        <is>
          <t>0</t>
        </is>
      </c>
      <c r="E207" s="5" t="inlineStr">
        <is>
          <t>3.200,00</t>
        </is>
      </c>
      <c r="F207" s="4" t="inlineStr">
        <is>
          <t>250.00</t>
        </is>
      </c>
    </row>
    <row collapsed="false" customFormat="false" customHeight="false" hidden="false" ht="12.1" outlineLevel="0" r="208">
      <c r="A208" s="5" t="s">
        <f>=HYPERLINK("https://www.leilaoonline.net/lote/detalhe/171247", "197")</f>
      </c>
      <c r="B208" s="4" t="s">
        <f>=HYPERLINK("https://www.leilaoonline.net/lote/detalhe/171247", " Disjuntor caixa aberta marca Siemens Modelo WL1800N 800A KA55 com ETU 27B - 1 peça")</f>
      </c>
      <c r="C208" s="4" t="inlineStr">
        <is>
          <t>Não vendido</t>
        </is>
      </c>
      <c r="D208" s="4" t="inlineStr">
        <is>
          <t>0</t>
        </is>
      </c>
      <c r="E208" s="5" t="inlineStr">
        <is>
          <t>5.000,00</t>
        </is>
      </c>
      <c r="F208" s="4" t="inlineStr">
        <is>
          <t>250.00</t>
        </is>
      </c>
    </row>
    <row collapsed="false" customFormat="false" customHeight="false" hidden="false" ht="12.1" outlineLevel="0" r="209">
      <c r="A209" s="5" t="s">
        <f>=HYPERLINK("https://www.leilaoonline.net/lote/detalhe/171248", "198")</f>
      </c>
      <c r="B209" s="4" t="s">
        <f>=HYPERLINK("https://www.leilaoonline.net/lote/detalhe/171248", " Disjuntor caixa aberta marca Siemens Modelo WL1800N 800A KA55 com ETU 27B - 1 peça")</f>
      </c>
      <c r="C209" s="4" t="inlineStr">
        <is>
          <t>Não vendido</t>
        </is>
      </c>
      <c r="D209" s="4" t="inlineStr">
        <is>
          <t>0</t>
        </is>
      </c>
      <c r="E209" s="5" t="inlineStr">
        <is>
          <t>5.000,00</t>
        </is>
      </c>
      <c r="F209" s="4" t="inlineStr">
        <is>
          <t>250.00</t>
        </is>
      </c>
    </row>
    <row collapsed="false" customFormat="false" customHeight="false" hidden="false" ht="12.1" outlineLevel="0" r="210">
      <c r="A210" s="5" t="s">
        <f>=HYPERLINK("https://www.leilaoonline.net/lote/detalhe/171246", "199")</f>
      </c>
      <c r="B210" s="4" t="s">
        <f>=HYPERLINK("https://www.leilaoonline.net/lote/detalhe/171246", " Disjuntor caixa aberta - Marca Merlin Gerin Masterpact - Modelo M20 N1 - 2000A KA55 com STR 38 S - 1 peça")</f>
      </c>
      <c r="C210" s="4" t="inlineStr">
        <is>
          <t>Não vendido</t>
        </is>
      </c>
      <c r="D210" s="4" t="inlineStr">
        <is>
          <t>0</t>
        </is>
      </c>
      <c r="E210" s="5" t="inlineStr">
        <is>
          <t>4.000,00</t>
        </is>
      </c>
      <c r="F210" s="4" t="inlineStr">
        <is>
          <t>250.00</t>
        </is>
      </c>
    </row>
    <row collapsed="false" customFormat="false" customHeight="false" hidden="false" ht="12.1" outlineLevel="0" r="211">
      <c r="A211" s="5" t="s">
        <f>=HYPERLINK("https://www.leilaoonline.net/lote/detalhe/171249", "200")</f>
      </c>
      <c r="B211" s="4" t="s">
        <f>=HYPERLINK("https://www.leilaoonline.net/lote/detalhe/171249", " Disjuntor caixa aberta - Marca Beghim ind. S.A - Série Dimatic - Tipo DM(1) - N⁰ 20335 800A KA50 com relé de sobrecorrente intervenção tipo (CT) IN 800 N⁰ 20482 - 1 peça")</f>
      </c>
      <c r="C211" s="4" t="inlineStr">
        <is>
          <t>Não vendido</t>
        </is>
      </c>
      <c r="D211" s="4" t="inlineStr">
        <is>
          <t>0</t>
        </is>
      </c>
      <c r="E211" s="5" t="inlineStr">
        <is>
          <t>1.600,00</t>
        </is>
      </c>
      <c r="F211" s="4" t="inlineStr">
        <is>
          <t>250.00</t>
        </is>
      </c>
    </row>
    <row collapsed="false" customFormat="false" customHeight="false" hidden="false" ht="12.1" outlineLevel="0" r="212">
      <c r="A212" s="5" t="s">
        <f>=HYPERLINK("https://www.leilaoonline.net/lote/detalhe/171250", "201")</f>
      </c>
      <c r="B212" s="4" t="s">
        <f>=HYPERLINK("https://www.leilaoonline.net/lote/detalhe/171250", " Disjuntor caixa aberta - Marca Intebradted Cubiclebus Siemens - Modelo WLL3F340 4000A KA100 com ETU745 - 1 peça")</f>
      </c>
      <c r="C212" s="4" t="inlineStr">
        <is>
          <t>Não vendido</t>
        </is>
      </c>
      <c r="D212" s="4" t="inlineStr">
        <is>
          <t>0</t>
        </is>
      </c>
      <c r="E212" s="5" t="inlineStr">
        <is>
          <t>20.000,00</t>
        </is>
      </c>
      <c r="F212" s="4" t="inlineStr">
        <is>
          <t>250.00</t>
        </is>
      </c>
    </row>
    <row collapsed="false" customFormat="false" customHeight="false" hidden="false" ht="12.1" outlineLevel="0" r="213">
      <c r="A213" s="5" t="s">
        <f>=HYPERLINK("https://www.leilaoonline.net/lote/detalhe/171251", "202")</f>
      </c>
      <c r="B213" s="4" t="s">
        <f>=HYPERLINK("https://www.leilaoonline.net/lote/detalhe/171251", " Disjuntor caixa aberta - Marca Beghim ind. S.A - Série Dimatic - Tipo DM(1) - N⁰ 32681 1600A KA50 com relé de sobrecorrente intervenção tipo (CT) IN 1600 N⁰ 34173 - 1 peça")</f>
      </c>
      <c r="C213" s="4" t="inlineStr">
        <is>
          <t>Não vendido</t>
        </is>
      </c>
      <c r="D213" s="4" t="inlineStr">
        <is>
          <t>0</t>
        </is>
      </c>
      <c r="E213" s="5" t="inlineStr">
        <is>
          <t>3.000,00</t>
        </is>
      </c>
      <c r="F213" s="4" t="inlineStr">
        <is>
          <t>250.00</t>
        </is>
      </c>
    </row>
    <row collapsed="false" customFormat="false" customHeight="false" hidden="false" ht="12.1" outlineLevel="0" r="214">
      <c r="A214" s="5" t="s">
        <f>=HYPERLINK("https://www.leilaoonline.net/lote/detalhe/171252", "203")</f>
      </c>
      <c r="B214" s="4" t="s">
        <f>=HYPERLINK("https://www.leilaoonline.net/lote/detalhe/171252", " Disjuntor caixa aberta - Marca Westing House - Divisão Marini Daminelli - Disjuntor tipo DS-416 1600A KA65 sensor is 600A série 28171 esquema eletrônico 262920 - 1 peça")</f>
      </c>
      <c r="C214" s="4" t="inlineStr">
        <is>
          <t>Não vendido</t>
        </is>
      </c>
      <c r="D214" s="4" t="inlineStr">
        <is>
          <t>0</t>
        </is>
      </c>
      <c r="E214" s="5" t="inlineStr">
        <is>
          <t>3.000,00</t>
        </is>
      </c>
      <c r="F214" s="4" t="inlineStr">
        <is>
          <t>250.00</t>
        </is>
      </c>
    </row>
    <row collapsed="false" customFormat="false" customHeight="false" hidden="false" ht="12.1" outlineLevel="0" r="215">
      <c r="A215" s="5" t="s">
        <f>=HYPERLINK("https://www.leilaoonline.net/lote/detalhe/171254", "204")</f>
      </c>
      <c r="B215" s="4" t="s">
        <f>=HYPERLINK("https://www.leilaoonline.net/lote/detalhe/171254", " Disjuntor caixa aberta - Marca Beghim ind. S.A - Série Dimatic - Tipo DM(1) - N⁰ 31035 1600A KA50 com relé de sobrecorrente intervenção tipo (CT) IN 1600 N⁰ 32171 - 1 peça")</f>
      </c>
      <c r="C215" s="4" t="inlineStr">
        <is>
          <t>Não vendido</t>
        </is>
      </c>
      <c r="D215" s="4" t="inlineStr">
        <is>
          <t>0</t>
        </is>
      </c>
      <c r="E215" s="5" t="inlineStr">
        <is>
          <t>3.000,00</t>
        </is>
      </c>
      <c r="F215" s="4" t="inlineStr">
        <is>
          <t>250.00</t>
        </is>
      </c>
    </row>
    <row collapsed="false" customFormat="false" customHeight="false" hidden="false" ht="12.1" outlineLevel="0" r="216">
      <c r="A216" s="5" t="s">
        <f>=HYPERLINK("https://www.leilaoonline.net/lote/detalhe/171257", "205")</f>
      </c>
      <c r="B216" s="4" t="s">
        <f>=HYPERLINK("https://www.leilaoonline.net/lote/detalhe/171257", " Disjuntor caixa aberta - Marca Siemens Modelo WL1600N 1600A KA55 com ETU 25B - 3WL116-20B36-1AA2 - 1 peça")</f>
      </c>
      <c r="C216" s="4" t="inlineStr">
        <is>
          <t>Não vendido</t>
        </is>
      </c>
      <c r="D216" s="4" t="inlineStr">
        <is>
          <t>0</t>
        </is>
      </c>
      <c r="E216" s="5" t="inlineStr">
        <is>
          <t>8.000,00</t>
        </is>
      </c>
      <c r="F216" s="4" t="inlineStr">
        <is>
          <t>250.00</t>
        </is>
      </c>
    </row>
    <row collapsed="false" customFormat="false" customHeight="false" hidden="false" ht="12.1" outlineLevel="0" r="217">
      <c r="A217" s="5" t="s">
        <f>=HYPERLINK("https://www.leilaoonline.net/lote/detalhe/171255", "206")</f>
      </c>
      <c r="B217" s="4" t="s">
        <f>=HYPERLINK("https://www.leilaoonline.net/lote/detalhe/171255", " Disjuntor caixa aberta - Marca Siemens Modelo WL1630N 630A KA55 com ETU 27B - 3WL1106-2DG36-4GA4 - 1 peça")</f>
      </c>
      <c r="C217" s="4" t="inlineStr">
        <is>
          <t>Não vendido</t>
        </is>
      </c>
      <c r="D217" s="4" t="inlineStr">
        <is>
          <t>0</t>
        </is>
      </c>
      <c r="E217" s="5" t="inlineStr">
        <is>
          <t>3.500,00</t>
        </is>
      </c>
      <c r="F217" s="4" t="inlineStr">
        <is>
          <t>250.00</t>
        </is>
      </c>
    </row>
    <row collapsed="false" customFormat="false" customHeight="false" hidden="false" ht="12.1" outlineLevel="0" r="218">
      <c r="A218" s="5" t="s">
        <f>=HYPERLINK("https://www.leilaoonline.net/lote/detalhe/171258", "207")</f>
      </c>
      <c r="B218" s="4" t="s">
        <f>=HYPERLINK("https://www.leilaoonline.net/lote/detalhe/171258", " Disjuntor caixa aberta - Marca Siemens Modelo WL1800N 800A KA55 com ETU 45B - 3WL1108-2FB36-1AA4 - 1 peça")</f>
      </c>
      <c r="C218" s="4" t="inlineStr">
        <is>
          <t>Não vendido</t>
        </is>
      </c>
      <c r="D218" s="4" t="inlineStr">
        <is>
          <t>0</t>
        </is>
      </c>
      <c r="E218" s="5" t="inlineStr">
        <is>
          <t>5.000,00</t>
        </is>
      </c>
      <c r="F218" s="4" t="inlineStr">
        <is>
          <t>250.00</t>
        </is>
      </c>
    </row>
    <row collapsed="false" customFormat="false" customHeight="false" hidden="false" ht="12.1" outlineLevel="0" r="219">
      <c r="A219" s="5" t="s">
        <f>=HYPERLINK("https://www.leilaoonline.net/lote/detalhe/171256", "208")</f>
      </c>
      <c r="B219" s="4" t="s">
        <f>=HYPERLINK("https://www.leilaoonline.net/lote/detalhe/171256", " Disjuntor caixa aberta - Marca Siemens Modelo WL1800N 800A KA55 com ETU 27B - 3WL1108-2DG36-4GA4 - 1 peça")</f>
      </c>
      <c r="C219" s="4" t="inlineStr">
        <is>
          <t>Não vendido</t>
        </is>
      </c>
      <c r="D219" s="4" t="inlineStr">
        <is>
          <t>0</t>
        </is>
      </c>
      <c r="E219" s="5" t="inlineStr">
        <is>
          <t>5.000,00</t>
        </is>
      </c>
      <c r="F219" s="4" t="inlineStr">
        <is>
          <t>250.00</t>
        </is>
      </c>
    </row>
    <row collapsed="false" customFormat="false" customHeight="false" hidden="false" ht="12.1" outlineLevel="0" r="220">
      <c r="A220" s="5" t="s">
        <f>=HYPERLINK("https://www.leilaoonline.net/lote/detalhe/171253", "209")</f>
      </c>
      <c r="B220" s="4" t="s">
        <f>=HYPERLINK("https://www.leilaoonline.net/lote/detalhe/171253", " Disjuntor caixa aberta - Marca Siemens Modelo WL1800N 800A KA55 com ETU 27B - 3WL1108-2DG36-4GA4 - 1 peça")</f>
      </c>
      <c r="C220" s="4" t="inlineStr">
        <is>
          <t>Não vendido</t>
        </is>
      </c>
      <c r="D220" s="4" t="inlineStr">
        <is>
          <t>0</t>
        </is>
      </c>
      <c r="E220" s="5" t="inlineStr">
        <is>
          <t>5.000,00</t>
        </is>
      </c>
      <c r="F220" s="4" t="inlineStr">
        <is>
          <t>250.00</t>
        </is>
      </c>
    </row>
    <row collapsed="false" customFormat="false" customHeight="false" hidden="false" ht="12.1" outlineLevel="0" r="221">
      <c r="A221" s="5" t="s">
        <f>=HYPERLINK("https://www.leilaoonline.net/lote/detalhe/171262", "210")</f>
      </c>
      <c r="B221" s="4" t="s">
        <f>=HYPERLINK("https://www.leilaoonline.net/lote/detalhe/171262", " Disjuntor caixa aberta - Marca Siemens Modelo WL1800N 800A KA55 com ETU 45B - 3WL1108-2FB36-1AA4 - 1 peça")</f>
      </c>
      <c r="C221" s="4" t="inlineStr">
        <is>
          <t>Não vendido</t>
        </is>
      </c>
      <c r="D221" s="4" t="inlineStr">
        <is>
          <t>0</t>
        </is>
      </c>
      <c r="E221" s="5" t="inlineStr">
        <is>
          <t>5.000,00</t>
        </is>
      </c>
      <c r="F221" s="4" t="inlineStr">
        <is>
          <t>250.00</t>
        </is>
      </c>
    </row>
    <row collapsed="false" customFormat="false" customHeight="false" hidden="false" ht="12.1" outlineLevel="0" r="222">
      <c r="A222" s="5" t="s">
        <f>=HYPERLINK("https://www.leilaoonline.net/lote/detalhe/171263", "211")</f>
      </c>
      <c r="B222" s="4" t="s">
        <f>=HYPERLINK("https://www.leilaoonline.net/lote/detalhe/171263", " Disjuntor caixa aberta - Marca Siemens Modelo WL1800N 800A KA55 com ETU 27B - 3WL1108-2DG36-4GA4 - 1 peça")</f>
      </c>
      <c r="C222" s="4" t="inlineStr">
        <is>
          <t>Não vendido</t>
        </is>
      </c>
      <c r="D222" s="4" t="inlineStr">
        <is>
          <t>0</t>
        </is>
      </c>
      <c r="E222" s="5" t="inlineStr">
        <is>
          <t>5.000,00</t>
        </is>
      </c>
      <c r="F222" s="4" t="inlineStr">
        <is>
          <t>250.00</t>
        </is>
      </c>
    </row>
    <row collapsed="false" customFormat="false" customHeight="false" hidden="false" ht="12.1" outlineLevel="0" r="223">
      <c r="A223" s="5" t="s">
        <f>=HYPERLINK("https://www.leilaoonline.net/lote/detalhe/171260", "212")</f>
      </c>
      <c r="B223" s="4" t="s">
        <f>=HYPERLINK("https://www.leilaoonline.net/lote/detalhe/171260", " Disjuntor caixa aberta - Marca Siemens Modelo WL11200N 2000A KA66 com ETU 27B - 3WL11220-2DG36-4GA4 - 1 peça")</f>
      </c>
      <c r="C223" s="4" t="inlineStr">
        <is>
          <t>Não vendido</t>
        </is>
      </c>
      <c r="D223" s="4" t="inlineStr">
        <is>
          <t>0</t>
        </is>
      </c>
      <c r="E223" s="5" t="inlineStr">
        <is>
          <t>10.000,00</t>
        </is>
      </c>
      <c r="F223" s="4" t="inlineStr">
        <is>
          <t>250.00</t>
        </is>
      </c>
    </row>
    <row collapsed="false" customFormat="false" customHeight="false" hidden="false" ht="12.1" outlineLevel="0" r="224">
      <c r="A224" s="5" t="s">
        <f>=HYPERLINK("https://www.leilaoonline.net/lote/detalhe/171259", "213")</f>
      </c>
      <c r="B224" s="4" t="s">
        <f>=HYPERLINK("https://www.leilaoonline.net/lote/detalhe/171259", " Disjuntor caixa aberta - Marca Siemens Modelo WL11200N 2000A KA66 com ETU 27B - 3WL11220-2AA36-4GA4 - 1 peça")</f>
      </c>
      <c r="C224" s="4" t="inlineStr">
        <is>
          <t>Não vendido</t>
        </is>
      </c>
      <c r="D224" s="4" t="inlineStr">
        <is>
          <t>0</t>
        </is>
      </c>
      <c r="E224" s="5" t="inlineStr">
        <is>
          <t>10.000,00</t>
        </is>
      </c>
      <c r="F224" s="4" t="inlineStr">
        <is>
          <t>250.00</t>
        </is>
      </c>
    </row>
    <row collapsed="false" customFormat="false" customHeight="false" hidden="false" ht="12.1" outlineLevel="0" r="225">
      <c r="A225" s="5" t="s">
        <f>=HYPERLINK("https://www.leilaoonline.net/lote/detalhe/171264", "214")</f>
      </c>
      <c r="B225" s="4" t="s">
        <f>=HYPERLINK("https://www.leilaoonline.net/lote/detalhe/171264", " Disjuntor caixa aberta - Marca Siemens Modelo WL11600N 1600A KA55 com ETU 25B - 3WL1116-20B36-1AA2 - 1 peça")</f>
      </c>
      <c r="C225" s="4" t="inlineStr">
        <is>
          <t>Não vendido</t>
        </is>
      </c>
      <c r="D225" s="4" t="inlineStr">
        <is>
          <t>0</t>
        </is>
      </c>
      <c r="E225" s="5" t="inlineStr">
        <is>
          <t>8.000,00</t>
        </is>
      </c>
      <c r="F225" s="4" t="inlineStr">
        <is>
          <t>250.00</t>
        </is>
      </c>
    </row>
    <row collapsed="false" customFormat="false" customHeight="false" hidden="false" ht="12.1" outlineLevel="0" r="226">
      <c r="A226" s="5" t="s">
        <f>=HYPERLINK("https://www.leilaoonline.net/lote/detalhe/171261", "215")</f>
      </c>
      <c r="B226" s="4" t="s">
        <f>=HYPERLINK("https://www.leilaoonline.net/lote/detalhe/171261", " Disjuntor caixa aberta - Marca Siemens Modelo WL11200N 2000A KA66 com ETU 27B - 3WL1220-2DG36-4GA4 - 1 peça")</f>
      </c>
      <c r="C226" s="4" t="inlineStr">
        <is>
          <t>Não vendido</t>
        </is>
      </c>
      <c r="D226" s="4" t="inlineStr">
        <is>
          <t>0</t>
        </is>
      </c>
      <c r="E226" s="5" t="inlineStr">
        <is>
          <t>10.000,00</t>
        </is>
      </c>
      <c r="F226" s="4" t="inlineStr">
        <is>
          <t>250.00</t>
        </is>
      </c>
    </row>
    <row collapsed="false" customFormat="false" customHeight="false" hidden="false" ht="12.1" outlineLevel="0" r="227">
      <c r="A227" s="5" t="s">
        <f>=HYPERLINK("https://www.leilaoonline.net/lote/detalhe/171265", "216")</f>
      </c>
      <c r="B227" s="4" t="s">
        <f>=HYPERLINK("https://www.leilaoonline.net/lote/detalhe/171265", " Disjuntor caixa aberta - Marca Merlin Gerin Masterpact - Modelo M20 H1 - 2000A KA75 com ST 208 D - 1 peça")</f>
      </c>
      <c r="C227" s="4" t="inlineStr">
        <is>
          <t>Não vendido</t>
        </is>
      </c>
      <c r="D227" s="4" t="inlineStr">
        <is>
          <t>0</t>
        </is>
      </c>
      <c r="E227" s="5" t="inlineStr">
        <is>
          <t>4.000,00</t>
        </is>
      </c>
      <c r="F227" s="4" t="inlineStr">
        <is>
          <t>250.00</t>
        </is>
      </c>
    </row>
    <row collapsed="false" customFormat="false" customHeight="false" hidden="false" ht="12.1" outlineLevel="0" r="228">
      <c r="A228" s="5" t="s">
        <f>=HYPERLINK("https://www.leilaoonline.net/lote/detalhe/171268", "217")</f>
      </c>
      <c r="B228" s="4" t="s">
        <f>=HYPERLINK("https://www.leilaoonline.net/lote/detalhe/171268", " Disjuntor caixa aberta - Marca Merlin Gerin Masterpact - Modelo M20 H1 - 2000A KA75 com STR 38 S - 1 peça")</f>
      </c>
      <c r="C228" s="4" t="inlineStr">
        <is>
          <t>Não vendido</t>
        </is>
      </c>
      <c r="D228" s="4" t="inlineStr">
        <is>
          <t>0</t>
        </is>
      </c>
      <c r="E228" s="5" t="inlineStr">
        <is>
          <t>4.000,00</t>
        </is>
      </c>
      <c r="F228" s="4" t="inlineStr">
        <is>
          <t>250.00</t>
        </is>
      </c>
    </row>
    <row collapsed="false" customFormat="false" customHeight="false" hidden="false" ht="12.1" outlineLevel="0" r="229">
      <c r="A229" s="5" t="s">
        <f>=HYPERLINK("https://www.leilaoonline.net/lote/detalhe/171269", "218")</f>
      </c>
      <c r="B229" s="4" t="s">
        <f>=HYPERLINK("https://www.leilaoonline.net/lote/detalhe/171269", " Disjuntor caixa aberta - Marca Merlin Gerin Masterpact - Modelo M20 HF - 2000A KA75 com ST 008 - 1 peça")</f>
      </c>
      <c r="C229" s="4" t="inlineStr">
        <is>
          <t>Não vendido</t>
        </is>
      </c>
      <c r="D229" s="4" t="inlineStr">
        <is>
          <t>0</t>
        </is>
      </c>
      <c r="E229" s="5" t="inlineStr">
        <is>
          <t>2.500,00</t>
        </is>
      </c>
      <c r="F229" s="4" t="inlineStr">
        <is>
          <t>250.00</t>
        </is>
      </c>
    </row>
    <row collapsed="false" customFormat="false" customHeight="false" hidden="false" ht="12.1" outlineLevel="0" r="230">
      <c r="A230" s="5" t="s">
        <f>=HYPERLINK("https://www.leilaoonline.net/lote/detalhe/171266", "219")</f>
      </c>
      <c r="B230" s="4" t="s">
        <f>=HYPERLINK("https://www.leilaoonline.net/lote/detalhe/171266", " Disjuntores caixa aberta - Marca ABB Sace Emax E2 - Modelo E1N 16 - 1600A - KA50 com Sace - PR121/P - 1 peça")</f>
      </c>
      <c r="C230" s="4" t="inlineStr">
        <is>
          <t>Não vendido</t>
        </is>
      </c>
      <c r="D230" s="4" t="inlineStr">
        <is>
          <t>0</t>
        </is>
      </c>
      <c r="E230" s="5" t="inlineStr">
        <is>
          <t>3.200,00</t>
        </is>
      </c>
      <c r="F230" s="4" t="inlineStr">
        <is>
          <t>250.00</t>
        </is>
      </c>
    </row>
    <row collapsed="false" customFormat="false" customHeight="false" hidden="false" ht="12.1" outlineLevel="0" r="231">
      <c r="A231" s="5" t="s">
        <f>=HYPERLINK("https://www.leilaoonline.net/lote/detalhe/171271", "220")</f>
      </c>
      <c r="B231" s="4" t="s">
        <f>=HYPERLINK("https://www.leilaoonline.net/lote/detalhe/171271", " Disjuntor caixa moldada 3P diversas marcas (1250A 2 peças) - (1000A 1 peça) - (400A 2 peças) - (800A 2 peças) - Total de amperes 5.900 - Total de peças 7")</f>
      </c>
      <c r="C231" s="4" t="inlineStr">
        <is>
          <t>Não vendido</t>
        </is>
      </c>
      <c r="D231" s="4" t="inlineStr">
        <is>
          <t>0</t>
        </is>
      </c>
      <c r="E231" s="5" t="inlineStr">
        <is>
          <t>8.000,00</t>
        </is>
      </c>
      <c r="F231" s="4" t="inlineStr">
        <is>
          <t>250.00</t>
        </is>
      </c>
    </row>
    <row collapsed="false" customFormat="false" customHeight="false" hidden="false" ht="12.1" outlineLevel="0" r="232">
      <c r="A232" s="5" t="s">
        <f>=HYPERLINK("https://www.leilaoonline.net/lote/detalhe/171267", "221")</f>
      </c>
      <c r="B232" s="4" t="s">
        <f>=HYPERLINK("https://www.leilaoonline.net/lote/detalhe/171267", " Disjuntor caixa moldada 3P diversas marcas (1600A 1 peça) - (800A 1 peça) - (1000A 1 peça) - (1250A 1 peça) - Total de amperes 4650 - Total de peças 4")</f>
      </c>
      <c r="C232" s="4" t="inlineStr">
        <is>
          <t>Não vendido</t>
        </is>
      </c>
      <c r="D232" s="4" t="inlineStr">
        <is>
          <t>0</t>
        </is>
      </c>
      <c r="E232" s="5" t="inlineStr">
        <is>
          <t>5.000,00</t>
        </is>
      </c>
      <c r="F232" s="4" t="inlineStr">
        <is>
          <t>250.00</t>
        </is>
      </c>
    </row>
    <row collapsed="false" customFormat="false" customHeight="false" hidden="false" ht="12.1" outlineLevel="0" r="233">
      <c r="A233" s="5" t="s">
        <f>=HYPERLINK("https://www.leilaoonline.net/lote/detalhe/171270", "222")</f>
      </c>
      <c r="B233" s="4" t="s">
        <f>=HYPERLINK("https://www.leilaoonline.net/lote/detalhe/171270", " Disjuntor caixa moldada 3P - Siemens - Diversos Modelos (630A 2 peças) - (400A 2 peça) - (500A 3 peças) - (315A 1 peça) - (50A 1 peça) - (250A 2 peças) - (80A 1 peça) - (100A 1 peça) - (125A 4 peças) - Total de amperes 5.105 - Total de peças 17")</f>
      </c>
      <c r="C233" s="4" t="inlineStr">
        <is>
          <t>Não vendido</t>
        </is>
      </c>
      <c r="D233" s="4" t="inlineStr">
        <is>
          <t>0</t>
        </is>
      </c>
      <c r="E233" s="5" t="inlineStr">
        <is>
          <t>7.000,00</t>
        </is>
      </c>
      <c r="F233" s="4" t="inlineStr">
        <is>
          <t>250.00</t>
        </is>
      </c>
    </row>
    <row collapsed="false" customFormat="false" customHeight="false" hidden="false" ht="12.1" outlineLevel="0" r="234">
      <c r="A234" s="5" t="s">
        <f>=HYPERLINK("https://www.leilaoonline.net/lote/detalhe/171273", "223")</f>
      </c>
      <c r="B234" s="4" t="s">
        <f>=HYPERLINK("https://www.leilaoonline.net/lote/detalhe/171273", " Disjuntor caixa moldada 3P - Siemens - Diversos Modelos (250A 12 peças) - (200A 6 peça) - (160A 4 peças) - (100A 3 peça) - (80A 2 peça) - (40A 1 peça) - (125A 1 peça) - (63A 1 peça) - Total de amperes 5.528 - Total de peças 30")</f>
      </c>
      <c r="C234" s="4" t="inlineStr">
        <is>
          <t>Não vendido</t>
        </is>
      </c>
      <c r="D234" s="4" t="inlineStr">
        <is>
          <t>0</t>
        </is>
      </c>
      <c r="E234" s="5" t="inlineStr">
        <is>
          <t>6.000,00</t>
        </is>
      </c>
      <c r="F234" s="4" t="inlineStr">
        <is>
          <t>250.00</t>
        </is>
      </c>
    </row>
    <row collapsed="false" customFormat="false" customHeight="false" hidden="false" ht="12.1" outlineLevel="0" r="235">
      <c r="A235" s="5" t="s">
        <f>=HYPERLINK("https://www.leilaoonline.net/lote/detalhe/171274", "224")</f>
      </c>
      <c r="B235" s="4" t="s">
        <f>=HYPERLINK("https://www.leilaoonline.net/lote/detalhe/171274", " Disjuntor caixa moldada 3P - Siemens - Diversos Modelos (630A 3 peças) - (250A 1 peça) - (400A 2 peças) - (200A 2 peças) - (125A 1 peça) - (80A 1 peça) - Total de amperes 3545 - Total de peças 10")</f>
      </c>
      <c r="C235" s="4" t="inlineStr">
        <is>
          <t>Não vendido</t>
        </is>
      </c>
      <c r="D235" s="4" t="inlineStr">
        <is>
          <t>0</t>
        </is>
      </c>
      <c r="E235" s="5" t="inlineStr">
        <is>
          <t>3.500,00</t>
        </is>
      </c>
      <c r="F235" s="4" t="inlineStr">
        <is>
          <t>250.00</t>
        </is>
      </c>
    </row>
    <row collapsed="false" customFormat="false" customHeight="false" hidden="false" ht="12.1" outlineLevel="0" r="236">
      <c r="A236" s="5" t="s">
        <f>=HYPERLINK("https://www.leilaoonline.net/lote/detalhe/171272", "225")</f>
      </c>
      <c r="B236" s="4" t="s">
        <f>=HYPERLINK("https://www.leilaoonline.net/lote/detalhe/171272", " Diversos tipos e modelos de relé da marca Coel - 25 peças")</f>
      </c>
      <c r="C236" s="4" t="inlineStr">
        <is>
          <t>Não vendido</t>
        </is>
      </c>
      <c r="D236" s="4" t="inlineStr">
        <is>
          <t>0</t>
        </is>
      </c>
      <c r="E236" s="5" t="inlineStr">
        <is>
          <t>1.250,00</t>
        </is>
      </c>
      <c r="F236" s="4" t="inlineStr">
        <is>
          <t>150.00</t>
        </is>
      </c>
    </row>
    <row collapsed="false" customFormat="false" customHeight="false" hidden="false" ht="12.1" outlineLevel="0" r="237">
      <c r="A237" s="5" t="s">
        <f>=HYPERLINK("https://www.leilaoonline.net/lote/detalhe/171276", "226")</f>
      </c>
      <c r="B237" s="4" t="s">
        <f>=HYPERLINK("https://www.leilaoonline.net/lote/detalhe/171276", " Diversos materiais elétricos, como, interrupte/15 Duplex Receptáculo 15A, Reles Finder, Intelli-Storm, etc")</f>
      </c>
      <c r="C237" s="4" t="inlineStr">
        <is>
          <t>Vendido</t>
        </is>
      </c>
      <c r="D237" s="4" t="inlineStr">
        <is>
          <t>1</t>
        </is>
      </c>
      <c r="E237" s="5" t="inlineStr">
        <is>
          <t>300,00</t>
        </is>
      </c>
      <c r="F237" s="4" t="inlineStr">
        <is>
          <t>100.00</t>
        </is>
      </c>
    </row>
    <row collapsed="false" customFormat="false" customHeight="false" hidden="false" ht="12.1" outlineLevel="0" r="238">
      <c r="A238" s="5" t="s">
        <f>=HYPERLINK("https://www.leilaoonline.net/lote/detalhe/171275", "227")</f>
      </c>
      <c r="B238" s="4" t="s">
        <f>=HYPERLINK("https://www.leilaoonline.net/lote/detalhe/171275", " Diversas Materiais Elétricos - Medidor Trifásico - Módulo de Comando - Microprocessador Protect CT1, etc")</f>
      </c>
      <c r="C238" s="4" t="inlineStr">
        <is>
          <t>Não vendido</t>
        </is>
      </c>
      <c r="D238" s="4" t="inlineStr">
        <is>
          <t>0</t>
        </is>
      </c>
      <c r="E238" s="5" t="inlineStr">
        <is>
          <t>2.000,00</t>
        </is>
      </c>
      <c r="F238" s="4" t="inlineStr">
        <is>
          <t>250.00</t>
        </is>
      </c>
    </row>
    <row collapsed="false" customFormat="false" customHeight="false" hidden="false" ht="12.1" outlineLevel="0" r="239">
      <c r="A239" s="5" t="s">
        <f>=HYPERLINK("https://www.leilaoonline.net/lote/detalhe/171277", "228")</f>
      </c>
      <c r="B239" s="4" t="s">
        <f>=HYPERLINK("https://www.leilaoonline.net/lote/detalhe/171277", " Diversas Materiais Elétricos - Sincronizador Automático, Controlador de FP, Controlador de máquinas de lavandeira, Embrasul, Pextron, Geratronic, etc")</f>
      </c>
      <c r="C239" s="4" t="inlineStr">
        <is>
          <t>Não vendido</t>
        </is>
      </c>
      <c r="D239" s="4" t="inlineStr">
        <is>
          <t>0</t>
        </is>
      </c>
      <c r="E239" s="5" t="inlineStr">
        <is>
          <t>3.000,00</t>
        </is>
      </c>
      <c r="F239" s="4" t="inlineStr">
        <is>
          <t>250.00</t>
        </is>
      </c>
    </row>
    <row collapsed="false" customFormat="false" customHeight="false" hidden="false" ht="12.1" outlineLevel="0" r="240">
      <c r="A240" s="5" t="s">
        <f>=HYPERLINK("https://www.leilaoonline.net/lote/detalhe/171278", "229")</f>
      </c>
      <c r="B240" s="4" t="s">
        <f>=HYPERLINK("https://www.leilaoonline.net/lote/detalhe/171278", " Diversas Materiais Elétricos - Kron, Yokogawa, Digimec, Starret Discoabrasivo, Cutler-Hammer, Conexel, et")</f>
      </c>
      <c r="C240" s="4" t="inlineStr">
        <is>
          <t>Não vendido</t>
        </is>
      </c>
      <c r="D240" s="4" t="inlineStr">
        <is>
          <t>0</t>
        </is>
      </c>
      <c r="E240" s="5" t="inlineStr">
        <is>
          <t>500,00</t>
        </is>
      </c>
      <c r="F240" s="4" t="inlineStr">
        <is>
          <t>150.00</t>
        </is>
      </c>
    </row>
    <row collapsed="false" customFormat="false" customHeight="false" hidden="false" ht="12.1" outlineLevel="0" r="241">
      <c r="A241" s="5" t="s">
        <f>=HYPERLINK("https://www.leilaoonline.net/lote/detalhe/171281", "230")</f>
      </c>
      <c r="B241" s="4" t="s">
        <f>=HYPERLINK("https://www.leilaoonline.net/lote/detalhe/171281", " Voltímetro modelo IDT36CA série 16158 tipo 600 VAC marca S")</f>
      </c>
      <c r="C241" s="4" t="inlineStr">
        <is>
          <t>Não vendido</t>
        </is>
      </c>
      <c r="D241" s="4" t="inlineStr">
        <is>
          <t>0</t>
        </is>
      </c>
      <c r="E241" s="5" t="inlineStr">
        <is>
          <t>1.500,00</t>
        </is>
      </c>
      <c r="F241" s="4" t="inlineStr">
        <is>
          <t>150.00</t>
        </is>
      </c>
    </row>
    <row collapsed="false" customFormat="false" customHeight="false" hidden="false" ht="12.1" outlineLevel="0" r="242">
      <c r="A242" s="5" t="s">
        <f>=HYPERLINK("https://www.leilaoonline.net/lote/detalhe/171279", "231")</f>
      </c>
      <c r="B242" s="4" t="s">
        <f>=HYPERLINK("https://www.leilaoonline.net/lote/detalhe/171279", " Diversos tipos de relés elétricos, modelos e amperagens - 49 peças")</f>
      </c>
      <c r="C242" s="4" t="inlineStr">
        <is>
          <t>Não vendido</t>
        </is>
      </c>
      <c r="D242" s="4" t="inlineStr">
        <is>
          <t>0</t>
        </is>
      </c>
      <c r="E242" s="5" t="inlineStr">
        <is>
          <t>500,00</t>
        </is>
      </c>
      <c r="F242" s="4" t="inlineStr">
        <is>
          <t>150.00</t>
        </is>
      </c>
    </row>
    <row collapsed="false" customFormat="false" customHeight="false" hidden="false" ht="12.1" outlineLevel="0" r="243">
      <c r="A243" s="5" t="s">
        <f>=HYPERLINK("https://www.leilaoonline.net/lote/detalhe/171282", "232")</f>
      </c>
      <c r="B243" s="4" t="s">
        <f>=HYPERLINK("https://www.leilaoonline.net/lote/detalhe/171282", " Diversos Materiais Elétricos de diversas marcas Siemens, Springer, Ajax, ATX, AB, etc")</f>
      </c>
      <c r="C243" s="4" t="inlineStr">
        <is>
          <t>Não vendido</t>
        </is>
      </c>
      <c r="D243" s="4" t="inlineStr">
        <is>
          <t>0</t>
        </is>
      </c>
      <c r="E243" s="5" t="inlineStr">
        <is>
          <t>1.000,00</t>
        </is>
      </c>
      <c r="F243" s="4" t="inlineStr">
        <is>
          <t>150.00</t>
        </is>
      </c>
    </row>
    <row collapsed="false" customFormat="false" customHeight="false" hidden="false" ht="12.1" outlineLevel="0" r="244">
      <c r="A244" s="5" t="s">
        <f>=HYPERLINK("https://www.leilaoonline.net/lote/detalhe/171280", "233")</f>
      </c>
      <c r="B244" s="4" t="s">
        <f>=HYPERLINK("https://www.leilaoonline.net/lote/detalhe/171280", " Diversos tipos e modelos de relés elétricos, diversas marcas - 110 peças")</f>
      </c>
      <c r="C244" s="4" t="inlineStr">
        <is>
          <t>Não vendido</t>
        </is>
      </c>
      <c r="D244" s="4" t="inlineStr">
        <is>
          <t>0</t>
        </is>
      </c>
      <c r="E244" s="5" t="inlineStr">
        <is>
          <t>500,00</t>
        </is>
      </c>
      <c r="F244" s="4" t="inlineStr">
        <is>
          <t>150.00</t>
        </is>
      </c>
    </row>
    <row collapsed="false" customFormat="false" customHeight="false" hidden="false" ht="12.1" outlineLevel="0" r="245">
      <c r="A245" s="5" t="s">
        <f>=HYPERLINK("https://www.leilaoonline.net/lote/detalhe/171283", "234")</f>
      </c>
      <c r="B245" s="4" t="s">
        <f>=HYPERLINK("https://www.leilaoonline.net/lote/detalhe/171283", " Diversos tipos e modelos de relés elétricos, diversas marcas - 85 peças")</f>
      </c>
      <c r="C245" s="4" t="inlineStr">
        <is>
          <t>Não vendido</t>
        </is>
      </c>
      <c r="D245" s="4" t="inlineStr">
        <is>
          <t>0</t>
        </is>
      </c>
      <c r="E245" s="5" t="inlineStr">
        <is>
          <t>500,00</t>
        </is>
      </c>
      <c r="F245" s="4" t="inlineStr">
        <is>
          <t>150.00</t>
        </is>
      </c>
    </row>
    <row collapsed="false" customFormat="false" customHeight="false" hidden="false" ht="12.1" outlineLevel="0" r="246">
      <c r="A246" s="5" t="s">
        <f>=HYPERLINK("https://www.leilaoonline.net/lote/detalhe/171284", "235")</f>
      </c>
      <c r="B246" s="4" t="s">
        <f>=HYPERLINK("https://www.leilaoonline.net/lote/detalhe/171284", " Disjuntor caixa moldada diversos modelos tipos e seccionadora de Disjuntor tetrapolar etc marca Merlim Gerin, Schneider - (1 peça 400A), (4 peças 630A), (1 peça 250A), (1 peça 1600), (1 peça 160) - Total de amperes 4.930 - Total de peças 8")</f>
      </c>
      <c r="C246" s="4" t="inlineStr">
        <is>
          <t>Não vendido</t>
        </is>
      </c>
      <c r="D246" s="4" t="inlineStr">
        <is>
          <t>0</t>
        </is>
      </c>
      <c r="E246" s="5" t="inlineStr">
        <is>
          <t>4.000,00</t>
        </is>
      </c>
      <c r="F246" s="4" t="inlineStr">
        <is>
          <t>250.00</t>
        </is>
      </c>
    </row>
    <row collapsed="false" customFormat="false" customHeight="false" hidden="false" ht="12.1" outlineLevel="0" r="247">
      <c r="A247" s="5" t="s">
        <f>=HYPERLINK("https://www.leilaoonline.net/lote/detalhe/171287", "236")</f>
      </c>
      <c r="B247" s="4" t="s">
        <f>=HYPERLINK("https://www.leilaoonline.net/lote/detalhe/171287", " Disjuntor caixa moldada 3P marca Cutler-Hammer - Modelo k1400 KA 35 (400A 19 peças), (100A 2 peças), (90A 1 peça) - Total de amperes 7890 - Total de peças 22")</f>
      </c>
      <c r="C247" s="4" t="inlineStr">
        <is>
          <t>Não vendido</t>
        </is>
      </c>
      <c r="D247" s="4" t="inlineStr">
        <is>
          <t>0</t>
        </is>
      </c>
      <c r="E247" s="5" t="inlineStr">
        <is>
          <t>7.000,00</t>
        </is>
      </c>
      <c r="F247" s="4" t="inlineStr">
        <is>
          <t>250.00</t>
        </is>
      </c>
    </row>
    <row collapsed="false" customFormat="false" customHeight="false" hidden="false" ht="12.1" outlineLevel="0" r="248">
      <c r="A248" s="5" t="s">
        <f>=HYPERLINK("https://www.leilaoonline.net/lote/detalhe/171285", "237")</f>
      </c>
      <c r="B248" s="4" t="s">
        <f>=HYPERLINK("https://www.leilaoonline.net/lote/detalhe/171285", " Disjuntor caixa montada 3P - Marca AB diversos modelos (1 peça 630A), (2 peça 600A), (4 peças 400A) - Total de amperes 3430 - Total de peças 7")</f>
      </c>
      <c r="C248" s="4" t="inlineStr">
        <is>
          <t>Não vendido</t>
        </is>
      </c>
      <c r="D248" s="4" t="inlineStr">
        <is>
          <t>0</t>
        </is>
      </c>
      <c r="E248" s="5" t="inlineStr">
        <is>
          <t>4.000,00</t>
        </is>
      </c>
      <c r="F248" s="4" t="inlineStr">
        <is>
          <t>250.00</t>
        </is>
      </c>
    </row>
    <row collapsed="false" customFormat="false" customHeight="false" hidden="false" ht="12.1" outlineLevel="0" r="249">
      <c r="A249" s="5" t="s">
        <f>=HYPERLINK("https://www.leilaoonline.net/lote/detalhe/171286", "238")</f>
      </c>
      <c r="B249" s="4" t="s">
        <f>=HYPERLINK("https://www.leilaoonline.net/lote/detalhe/171286", " Disjuntor caixa moldada 3P diversas marcas e modelos (14 peças 400A), (6 peças 130A), (1 peça 300A), (1 peça 250A), (1 peça 125A), (1 peça 225A), (1 peça 80A) - Marcas: Soprano, JNG, Tembreak, Cutler-Hammer, Hanger, WEG, CHNT, General - Total de amperes 10.360 - Total de peças 25")</f>
      </c>
      <c r="C249" s="4" t="inlineStr">
        <is>
          <t>Não vendido</t>
        </is>
      </c>
      <c r="D249" s="4" t="inlineStr">
        <is>
          <t>0</t>
        </is>
      </c>
      <c r="E249" s="5" t="inlineStr">
        <is>
          <t>15.000,00</t>
        </is>
      </c>
      <c r="F249" s="4" t="inlineStr">
        <is>
          <t>250.00</t>
        </is>
      </c>
    </row>
    <row collapsed="false" customFormat="false" customHeight="false" hidden="false" ht="12.1" outlineLevel="0" r="250">
      <c r="A250" s="5" t="s">
        <f>=HYPERLINK("https://www.leilaoonline.net/lote/detalhe/171289", "239")</f>
      </c>
      <c r="B250" s="4" t="s">
        <f>=HYPERLINK("https://www.leilaoonline.net/lote/detalhe/171289", " Disjuntor caixa rodada 3P diversas marcas e modelos (23 peças 125A), (2 peças 150A), (3 peças 75A), (1 peça 80A), (1 peça 175A), (16 peças 50A), (4 peças 100A), (1 peça 110A), (1 peça 32A), (11 peças 160A), (2 peças 63A), (1 peça 40A), ( 2 peças 30A), (1 peça 15A) - marcas AABB, Tembreak, WEG, AB, ")</f>
      </c>
      <c r="C250" s="4" t="inlineStr">
        <is>
          <t>Não vendido</t>
        </is>
      </c>
      <c r="D250" s="4" t="inlineStr">
        <is>
          <t>0</t>
        </is>
      </c>
      <c r="E250" s="5" t="inlineStr">
        <is>
          <t>5.000,00</t>
        </is>
      </c>
      <c r="F250" s="4" t="inlineStr">
        <is>
          <t>250.00</t>
        </is>
      </c>
    </row>
    <row collapsed="false" customFormat="false" customHeight="false" hidden="false" ht="12.1" outlineLevel="0" r="251">
      <c r="A251" s="5" t="s">
        <f>=HYPERLINK("https://www.leilaoonline.net/lote/detalhe/171288", "240")</f>
      </c>
      <c r="B251" s="4" t="s">
        <f>=HYPERLINK("https://www.leilaoonline.net/lote/detalhe/171288", " Disjuntor caixa rodada 3P diversos tipos e modelos - Marcas: Schneider e Merlin Gerin (5 peças 250A), (1 peça 200A), (2 peças 175A), (5 peças 125A), (5 peças 160A), (3 peças 63A), (2 peças 80A), (1 peça 150A), (4 peças 100A), (1 peça 25A) - Total de amperes 4149 - Total de peças 29")</f>
      </c>
      <c r="C251" s="4" t="inlineStr">
        <is>
          <t>Não vendido</t>
        </is>
      </c>
      <c r="D251" s="4" t="inlineStr">
        <is>
          <t>0</t>
        </is>
      </c>
      <c r="E251" s="5" t="inlineStr">
        <is>
          <t>6.000,00</t>
        </is>
      </c>
      <c r="F251" s="4" t="inlineStr">
        <is>
          <t>250.00</t>
        </is>
      </c>
    </row>
    <row collapsed="false" customFormat="false" customHeight="false" hidden="false" ht="12.1" outlineLevel="0" r="252">
      <c r="A252" s="5" t="s">
        <f>=HYPERLINK("https://www.leilaoonline.net/lote/detalhe/171290", "241")</f>
      </c>
      <c r="B252" s="4" t="s">
        <f>=HYPERLINK("https://www.leilaoonline.net/lote/detalhe/171290", " Disjuntores caixa moldada 3P - Diversos tipos e modelos - (14 peças 100A), (1 peça 60A), (4 peças 80A), (2 peças 150A), (3 peças 200A), (1 peça 125A), (3 peças 175A), (1 peça 205A), (1 peça 250A), (20 peças 160A), (1 peça 20A), (1 peça 10A), (3 peças 50A), (1 peça 40A) - GE, LG, Terasak, Telemecani")</f>
      </c>
      <c r="C252" s="4" t="inlineStr">
        <is>
          <t>Não vendido</t>
        </is>
      </c>
      <c r="D252" s="4" t="inlineStr">
        <is>
          <t>0</t>
        </is>
      </c>
      <c r="E252" s="5" t="inlineStr">
        <is>
          <t>8.000,00</t>
        </is>
      </c>
      <c r="F252" s="4" t="inlineStr">
        <is>
          <t>250.00</t>
        </is>
      </c>
    </row>
    <row collapsed="false" customFormat="false" customHeight="false" hidden="false" ht="12.1" outlineLevel="0" r="253">
      <c r="A253" s="5" t="s">
        <f>=HYPERLINK("https://www.leilaoonline.net/lote/detalhe/171293", "242")</f>
      </c>
      <c r="B253" s="4" t="s">
        <f>=HYPERLINK("https://www.leilaoonline.net/lote/detalhe/171293", " Disjuntor caixa moldada 3P - Diversas marcas tipos e modelos (1 peça 25A), (1 peça 63A), (1 peça 30A), (1 peça 60A), (1 peça 50A), (1 peça 160A), (1 peça 500A), (1 peça 400A), (3 peças 125A), (2 peças 175A), (6 peças 200A), (41 peças 150A), (1 peça 250A), (12 peças 100A), (4 peças 80A) - Total de a")</f>
      </c>
      <c r="C253" s="4" t="inlineStr">
        <is>
          <t>Não vendido</t>
        </is>
      </c>
      <c r="D253" s="4" t="inlineStr">
        <is>
          <t>0</t>
        </is>
      </c>
      <c r="E253" s="5" t="inlineStr">
        <is>
          <t>4.000,00</t>
        </is>
      </c>
      <c r="F253" s="4" t="inlineStr">
        <is>
          <t>250.00</t>
        </is>
      </c>
    </row>
    <row collapsed="false" customFormat="false" customHeight="false" hidden="false" ht="12.1" outlineLevel="0" r="254">
      <c r="A254" s="5" t="s">
        <f>=HYPERLINK("https://www.leilaoonline.net/lote/detalhe/171291", "243")</f>
      </c>
      <c r="B254" s="4" t="s">
        <f>=HYPERLINK("https://www.leilaoonline.net/lote/detalhe/171291", " Disjuntores caixa Pousada 3P - Diversos modelos da marca ABB (5 peças 400A), (4 peças 250A), (1 peça 100A), (1 peça 800A), (1 peça 630A), (3 peças 80A), (3 peças 63A), (1 peça 125A) - Marca Sanmen Kema (13 peças 180A) CND1225L - 32KA - Novos na caixa - Total de amperes 7424 - Total de peças 32")</f>
      </c>
      <c r="C254" s="4" t="inlineStr">
        <is>
          <t>Não vendido</t>
        </is>
      </c>
      <c r="D254" s="4" t="inlineStr">
        <is>
          <t>0</t>
        </is>
      </c>
      <c r="E254" s="5" t="inlineStr">
        <is>
          <t>8.000,00</t>
        </is>
      </c>
      <c r="F254" s="4" t="inlineStr">
        <is>
          <t>250.00</t>
        </is>
      </c>
    </row>
    <row collapsed="false" customFormat="false" customHeight="false" hidden="false" ht="12.1" outlineLevel="0" r="255">
      <c r="A255" s="5" t="s">
        <f>=HYPERLINK("https://www.leilaoonline.net/lote/detalhe/171292", "244")</f>
      </c>
      <c r="B255" s="4" t="s">
        <f>=HYPERLINK("https://www.leilaoonline.net/lote/detalhe/171292", " Disjuntores caixa moldada 3P - Diversos modelos da marca Schneider e Merlin Gerim (3 peças 630A), (2 peças 350A), (1 peça 300A), (1 peça 320A), (1 peça 80A), (1 peça 100A), (5 peças 400A) - Total de amperes 5390A - Total de peças 14")</f>
      </c>
      <c r="C255" s="4" t="inlineStr">
        <is>
          <t>Não vendido</t>
        </is>
      </c>
      <c r="D255" s="4" t="inlineStr">
        <is>
          <t>0</t>
        </is>
      </c>
      <c r="E255" s="5" t="inlineStr">
        <is>
          <t>7.000,00</t>
        </is>
      </c>
      <c r="F255" s="4" t="inlineStr">
        <is>
          <t>250.00</t>
        </is>
      </c>
    </row>
    <row collapsed="false" customFormat="false" customHeight="false" hidden="false" ht="12.1" outlineLevel="0" r="256">
      <c r="A256" s="5" t="s">
        <f>=HYPERLINK("https://www.leilaoonline.net/lote/detalhe/171295", "245")</f>
      </c>
      <c r="B256" s="4" t="s">
        <f>=HYPERLINK("https://www.leilaoonline.net/lote/detalhe/171295", " Disjuntores caixa moldada 3P - Diversos modelos e marcas (2 peças 600A), (2 peças 400A), (1 peça 300A), (1 peça 500A), (1 peça 1000A), (2 peça 630A), (3 peças 250A) - Total de amperes 5810A - Total de peças 12")</f>
      </c>
      <c r="C256" s="4" t="inlineStr">
        <is>
          <t>Não vendido</t>
        </is>
      </c>
      <c r="D256" s="4" t="inlineStr">
        <is>
          <t>0</t>
        </is>
      </c>
      <c r="E256" s="5" t="inlineStr">
        <is>
          <t>6.000,00</t>
        </is>
      </c>
      <c r="F256" s="4" t="inlineStr">
        <is>
          <t>250.00</t>
        </is>
      </c>
    </row>
    <row collapsed="false" customFormat="false" customHeight="false" hidden="false" ht="12.1" outlineLevel="0" r="257">
      <c r="A257" s="5" t="s">
        <f>=HYPERLINK("https://www.leilaoonline.net/lote/detalhe/171294", "246")</f>
      </c>
      <c r="B257" s="4" t="s">
        <f>=HYPERLINK("https://www.leilaoonline.net/lote/detalhe/171294", " Disjuntores caixa moldada 3P - Diversos modelos e marcas (3 peças 100A), (6 peças 160A), (1 peça 800A), (5 peças 150A) e (2 peças 250A do interruptor seccionador Schneider) - Total de amperes 3310A - Total de peças 17")</f>
      </c>
      <c r="C257" s="4" t="inlineStr">
        <is>
          <t>Não vendido</t>
        </is>
      </c>
      <c r="D257" s="4" t="inlineStr">
        <is>
          <t>0</t>
        </is>
      </c>
      <c r="E257" s="5" t="inlineStr">
        <is>
          <t>2.000,00</t>
        </is>
      </c>
      <c r="F257" s="4" t="inlineStr">
        <is>
          <t>250.00</t>
        </is>
      </c>
    </row>
    <row collapsed="false" customFormat="false" customHeight="false" hidden="false" ht="12.1" outlineLevel="0" r="258">
      <c r="A258" s="5" t="s">
        <f>=HYPERLINK("https://www.leilaoonline.net/lote/detalhe/171297", "247")</f>
      </c>
      <c r="B258" s="4" t="s">
        <f>=HYPERLINK("https://www.leilaoonline.net/lote/detalhe/171297", " Disjuntores caixa moldada unipolar, bipolar e tripolar, Chaves seccionadora diversas marcas e modelos (5 peças 100A), (2 peças 160A), (1 peça 150A), (1 peça 20A), (1 peça 80A), (1 peça 90A), (1 peça 50A), (1 peça 630A), (1 peça 15A), (1 peça 100A) - Total de amperes 2255 - Total de peças 15")</f>
      </c>
      <c r="C258" s="4" t="inlineStr">
        <is>
          <t>Não vendido</t>
        </is>
      </c>
      <c r="D258" s="4" t="inlineStr">
        <is>
          <t>0</t>
        </is>
      </c>
      <c r="E258" s="5" t="inlineStr">
        <is>
          <t>1.500,00</t>
        </is>
      </c>
      <c r="F258" s="4" t="inlineStr">
        <is>
          <t>250.00</t>
        </is>
      </c>
    </row>
    <row collapsed="false" customFormat="false" customHeight="false" hidden="false" ht="12.1" outlineLevel="0" r="259">
      <c r="A259" s="5" t="s">
        <f>=HYPERLINK("https://www.leilaoonline.net/lote/detalhe/171296", "248")</f>
      </c>
      <c r="B259" s="4" t="s">
        <f>=HYPERLINK("https://www.leilaoonline.net/lote/detalhe/171296", " Chaves seccionadora porta fusível 3P marca Siemens modelo 3NP401 - Fusível máx 100A com fusível diversos Siemens - 21 Peças")</f>
      </c>
      <c r="C259" s="4" t="inlineStr">
        <is>
          <t>Não vendido</t>
        </is>
      </c>
      <c r="D259" s="4" t="inlineStr">
        <is>
          <t>0</t>
        </is>
      </c>
      <c r="E259" s="5" t="inlineStr">
        <is>
          <t>2.100,00</t>
        </is>
      </c>
      <c r="F259" s="4" t="inlineStr">
        <is>
          <t>250.00</t>
        </is>
      </c>
    </row>
    <row collapsed="false" customFormat="false" customHeight="false" hidden="false" ht="12.1" outlineLevel="0" r="260">
      <c r="A260" s="5" t="s">
        <f>=HYPERLINK("https://www.leilaoonline.net/lote/detalhe/171298", "249")</f>
      </c>
      <c r="B260" s="4" t="s">
        <f>=HYPERLINK("https://www.leilaoonline.net/lote/detalhe/171298", " Chaves seccionadora porta fusível 3P marca Siemens modelo 3NP407 - Fusível máx 160A com fusível diversos Siemens - 12 Peças")</f>
      </c>
      <c r="C260" s="4" t="inlineStr">
        <is>
          <t>Não vendido</t>
        </is>
      </c>
      <c r="D260" s="4" t="inlineStr">
        <is>
          <t>0</t>
        </is>
      </c>
      <c r="E260" s="5" t="inlineStr">
        <is>
          <t>2.000,00</t>
        </is>
      </c>
      <c r="F260" s="4" t="inlineStr">
        <is>
          <t>250.00</t>
        </is>
      </c>
    </row>
    <row collapsed="false" customFormat="false" customHeight="false" hidden="false" ht="12.1" outlineLevel="0" r="261">
      <c r="A261" s="5" t="s">
        <f>=HYPERLINK("https://www.leilaoonline.net/lote/detalhe/171299", "250")</f>
      </c>
      <c r="B261" s="4" t="s">
        <f>=HYPERLINK("https://www.leilaoonline.net/lote/detalhe/171299", " Chaves seccionadora porta fusível 3P marca Siemens com fusível 200A Eletromec 2 peças")</f>
      </c>
      <c r="C261" s="4" t="inlineStr">
        <is>
          <t>Não vendido</t>
        </is>
      </c>
      <c r="D261" s="4" t="inlineStr">
        <is>
          <t>0</t>
        </is>
      </c>
      <c r="E261" s="5" t="inlineStr">
        <is>
          <t>700,00</t>
        </is>
      </c>
      <c r="F261" s="4" t="inlineStr">
        <is>
          <t>150.00</t>
        </is>
      </c>
    </row>
    <row collapsed="false" customFormat="false" customHeight="false" hidden="false" ht="12.1" outlineLevel="0" r="262">
      <c r="A262" s="5" t="s">
        <f>=HYPERLINK("https://www.leilaoonline.net/lote/detalhe/171302", "251")</f>
      </c>
      <c r="B262" s="4" t="s">
        <f>=HYPERLINK("https://www.leilaoonline.net/lote/detalhe/171302", " Chaves seccionadora 3P - marca: Siemens - Modelo: Ergon 500 amperes - 630A - 2 peças")</f>
      </c>
      <c r="C262" s="4" t="inlineStr">
        <is>
          <t>Não vendido</t>
        </is>
      </c>
      <c r="D262" s="4" t="inlineStr">
        <is>
          <t>0</t>
        </is>
      </c>
      <c r="E262" s="5" t="inlineStr">
        <is>
          <t>1.500,00</t>
        </is>
      </c>
      <c r="F262" s="4" t="inlineStr">
        <is>
          <t>250.00</t>
        </is>
      </c>
    </row>
    <row collapsed="false" customFormat="false" customHeight="false" hidden="false" ht="12.1" outlineLevel="0" r="263">
      <c r="A263" s="5" t="s">
        <f>=HYPERLINK("https://www.leilaoonline.net/lote/detalhe/171300", "252")</f>
      </c>
      <c r="B263" s="4" t="s">
        <f>=HYPERLINK("https://www.leilaoonline.net/lote/detalhe/171300", " Chaves seccionadora 3P - marca: Siemens - Modelo: Ergon 500 amperes - 630A - 2 peças")</f>
      </c>
      <c r="C263" s="4" t="inlineStr">
        <is>
          <t>Não vendido</t>
        </is>
      </c>
      <c r="D263" s="4" t="inlineStr">
        <is>
          <t>0</t>
        </is>
      </c>
      <c r="E263" s="5" t="inlineStr">
        <is>
          <t>1.500,00</t>
        </is>
      </c>
      <c r="F263" s="4" t="inlineStr">
        <is>
          <t>250.00</t>
        </is>
      </c>
    </row>
    <row collapsed="false" customFormat="false" customHeight="false" hidden="false" ht="12.1" outlineLevel="0" r="264">
      <c r="A264" s="5" t="s">
        <f>=HYPERLINK("https://www.leilaoonline.net/lote/detalhe/171303", "253")</f>
      </c>
      <c r="B264" s="4" t="s">
        <f>=HYPERLINK("https://www.leilaoonline.net/lote/detalhe/171303", " Chaves seccionadora 3P - marca: Siemens - Modelo: Ergon 500 amperes - 630A - 2 peças")</f>
      </c>
      <c r="C264" s="4" t="inlineStr">
        <is>
          <t>Não vendido</t>
        </is>
      </c>
      <c r="D264" s="4" t="inlineStr">
        <is>
          <t>0</t>
        </is>
      </c>
      <c r="E264" s="5" t="inlineStr">
        <is>
          <t>1.500,00</t>
        </is>
      </c>
      <c r="F264" s="4" t="inlineStr">
        <is>
          <t>250.00</t>
        </is>
      </c>
    </row>
    <row collapsed="false" customFormat="false" customHeight="false" hidden="false" ht="12.1" outlineLevel="0" r="265">
      <c r="A265" s="5" t="s">
        <f>=HYPERLINK("https://www.leilaoonline.net/lote/detalhe/171301", "254")</f>
      </c>
      <c r="B265" s="4" t="s">
        <f>=HYPERLINK("https://www.leilaoonline.net/lote/detalhe/171301", " Chaves seccionadora base para fusível 3P - Marca Holec - Modelo T461 com fusível 160A Siemens - Modelo 3NA3 836 120KA - 19 peças")</f>
      </c>
      <c r="C265" s="4" t="inlineStr">
        <is>
          <t>Não vendido</t>
        </is>
      </c>
      <c r="D265" s="4" t="inlineStr">
        <is>
          <t>0</t>
        </is>
      </c>
      <c r="E265" s="5" t="inlineStr">
        <is>
          <t>2.000,00</t>
        </is>
      </c>
      <c r="F265" s="4" t="inlineStr">
        <is>
          <t>250.00</t>
        </is>
      </c>
    </row>
    <row collapsed="false" customFormat="false" customHeight="false" hidden="false" ht="12.1" outlineLevel="0" r="266">
      <c r="A266" s="5" t="s">
        <f>=HYPERLINK("https://www.leilaoonline.net/lote/detalhe/171304", "255")</f>
      </c>
      <c r="B266" s="4" t="s">
        <f>=HYPERLINK("https://www.leilaoonline.net/lote/detalhe/171304", " Disjuntor caixa moldada 3P diversas marcas e modelos (1 peça 600A), (1 peça 630A), (4 peças 1200A), (2 peças 2050A), (2 peças 800A) Marcas: General, Square D, ABB, Merlin Gerin - Total de amperes 10130 - Total de peças 10")</f>
      </c>
      <c r="C266" s="4" t="inlineStr">
        <is>
          <t>Não vendido</t>
        </is>
      </c>
      <c r="D266" s="4" t="inlineStr">
        <is>
          <t>0</t>
        </is>
      </c>
      <c r="E266" s="5" t="inlineStr">
        <is>
          <t>10.000,00</t>
        </is>
      </c>
      <c r="F266" s="4" t="inlineStr">
        <is>
          <t>250.00</t>
        </is>
      </c>
    </row>
    <row collapsed="false" customFormat="false" customHeight="false" hidden="false" ht="12.1" outlineLevel="0" r="267">
      <c r="A267" s="5" t="s">
        <f>=HYPERLINK("https://www.leilaoonline.net/lote/detalhe/171305", "256")</f>
      </c>
      <c r="B267" s="4" t="s">
        <f>=HYPERLINK("https://www.leilaoonline.net/lote/detalhe/171305", " Transformador diversas tipos, marcas, modelos e amperagens - Diversas correntes elétricas - 24 Peças")</f>
      </c>
      <c r="C267" s="4" t="inlineStr">
        <is>
          <t>Não vendido</t>
        </is>
      </c>
      <c r="D267" s="4" t="inlineStr">
        <is>
          <t>0</t>
        </is>
      </c>
      <c r="E267" s="5" t="inlineStr">
        <is>
          <t>3.000,00</t>
        </is>
      </c>
      <c r="F267" s="4" t="inlineStr">
        <is>
          <t>250.00</t>
        </is>
      </c>
    </row>
    <row collapsed="false" customFormat="false" customHeight="false" hidden="false" ht="12.1" outlineLevel="0" r="268">
      <c r="A268" s="5" t="s">
        <f>=HYPERLINK("https://www.leilaoonline.net/lote/detalhe/171307", "257")</f>
      </c>
      <c r="B268" s="4" t="s">
        <f>=HYPERLINK("https://www.leilaoonline.net/lote/detalhe/171307", " Auto Transformador - Tipo 10 P/H - 3 Fases N⁰3/89 - 30CV - 60HZ - Volts 220 Tap: 65 - 80 - Classe térmica: A - Nível KV: 0.6 Marca: eletromec - 4 peças")</f>
      </c>
      <c r="C268" s="4" t="inlineStr">
        <is>
          <t>Não vendido</t>
        </is>
      </c>
      <c r="D268" s="4" t="inlineStr">
        <is>
          <t>0</t>
        </is>
      </c>
      <c r="E268" s="5" t="inlineStr">
        <is>
          <t>2.500,00</t>
        </is>
      </c>
      <c r="F268" s="4" t="inlineStr">
        <is>
          <t>250.00</t>
        </is>
      </c>
    </row>
    <row collapsed="false" customFormat="false" customHeight="false" hidden="false" ht="12.1" outlineLevel="0" r="269">
      <c r="A269" s="5" t="s">
        <f>=HYPERLINK("https://www.leilaoonline.net/lote/detalhe/171306", "258")</f>
      </c>
      <c r="B269" s="4" t="s">
        <f>=HYPERLINK("https://www.leilaoonline.net/lote/detalhe/171306", " Chave seccionadora marca ABB diversos modelos (1 peça 400A), (3 peças 200A), (1 peça 250A), (1 peça 160A com fusível modelo OFAF00H 80) - Total de 6 peças")</f>
      </c>
      <c r="C269" s="4" t="inlineStr">
        <is>
          <t>Não vendido</t>
        </is>
      </c>
      <c r="D269" s="4" t="inlineStr">
        <is>
          <t>0</t>
        </is>
      </c>
      <c r="E269" s="5" t="inlineStr">
        <is>
          <t>2.000,00</t>
        </is>
      </c>
      <c r="F269" s="4" t="inlineStr">
        <is>
          <t>250.00</t>
        </is>
      </c>
    </row>
    <row collapsed="false" customFormat="false" customHeight="false" hidden="false" ht="12.1" outlineLevel="0" r="270">
      <c r="A270" s="5" t="s">
        <f>=HYPERLINK("https://www.leilaoonline.net/lote/detalhe/171309", "259")</f>
      </c>
      <c r="B270" s="4" t="s">
        <f>=HYPERLINK("https://www.leilaoonline.net/lote/detalhe/171309", " Chave seccionadora - Marca Siemens - Modelo 3kU2-125 125A e Modelo 3KU1-125 125 Siemens - Total de peças 2")</f>
      </c>
      <c r="C270" s="4" t="inlineStr">
        <is>
          <t>Não vendido</t>
        </is>
      </c>
      <c r="D270" s="4" t="inlineStr">
        <is>
          <t>0</t>
        </is>
      </c>
      <c r="E270" s="5" t="inlineStr">
        <is>
          <t>200,00</t>
        </is>
      </c>
      <c r="F270" s="4" t="inlineStr">
        <is>
          <t>150.00</t>
        </is>
      </c>
    </row>
    <row collapsed="false" customFormat="false" customHeight="false" hidden="false" ht="12.1" outlineLevel="0" r="271">
      <c r="A271" s="5" t="s">
        <f>=HYPERLINK("https://www.leilaoonline.net/lote/detalhe/171308", "260")</f>
      </c>
      <c r="B271" s="4" t="s">
        <f>=HYPERLINK("https://www.leilaoonline.net/lote/detalhe/171308", " Chaves seccionadora - Marca Siemens modelo 3k1U 627 630A - modelo 3k1U 227 200A - 2 peças")</f>
      </c>
      <c r="C271" s="4" t="inlineStr">
        <is>
          <t>Não vendido</t>
        </is>
      </c>
      <c r="D271" s="4" t="inlineStr">
        <is>
          <t>0</t>
        </is>
      </c>
      <c r="E271" s="5" t="inlineStr">
        <is>
          <t>600,00</t>
        </is>
      </c>
      <c r="F271" s="4" t="inlineStr">
        <is>
          <t>150.00</t>
        </is>
      </c>
    </row>
    <row collapsed="false" customFormat="false" customHeight="false" hidden="false" ht="12.1" outlineLevel="0" r="272">
      <c r="A272" s="5" t="s">
        <f>=HYPERLINK("https://www.leilaoonline.net/lote/detalhe/171310", "261")</f>
      </c>
      <c r="B272" s="4" t="s">
        <f>=HYPERLINK("https://www.leilaoonline.net/lote/detalhe/171310", " Transformador diversos tipos e marcas, modelos, amperes - Diversas correntes elétricas - 15 peças")</f>
      </c>
      <c r="C272" s="4" t="inlineStr">
        <is>
          <t>Não vendido</t>
        </is>
      </c>
      <c r="D272" s="4" t="inlineStr">
        <is>
          <t>0</t>
        </is>
      </c>
      <c r="E272" s="5" t="inlineStr">
        <is>
          <t>2.000,00</t>
        </is>
      </c>
      <c r="F272" s="4" t="inlineStr">
        <is>
          <t>250.00</t>
        </is>
      </c>
    </row>
    <row collapsed="false" customFormat="false" customHeight="false" hidden="false" ht="12.1" outlineLevel="0" r="273">
      <c r="A273" s="5" t="s">
        <f>=HYPERLINK("https://www.leilaoonline.net/lote/detalhe/171311", "262")</f>
      </c>
      <c r="B273" s="4" t="s">
        <f>=HYPERLINK("https://www.leilaoonline.net/lote/detalhe/171311", " Transformador diversos tipos e marcas, modelos, amperes - Diversas correntes elétricas - 24 peças")</f>
      </c>
      <c r="C273" s="4" t="inlineStr">
        <is>
          <t>Não vendido</t>
        </is>
      </c>
      <c r="D273" s="4" t="inlineStr">
        <is>
          <t>0</t>
        </is>
      </c>
      <c r="E273" s="5" t="inlineStr">
        <is>
          <t>3.000,00</t>
        </is>
      </c>
      <c r="F273" s="4" t="inlineStr">
        <is>
          <t>250.00</t>
        </is>
      </c>
    </row>
    <row collapsed="false" customFormat="false" customHeight="false" hidden="false" ht="12.1" outlineLevel="0" r="274">
      <c r="A274" s="5" t="s">
        <f>=HYPERLINK("https://www.leilaoonline.net/lote/detalhe/171313", "263")</f>
      </c>
      <c r="B274" s="4" t="s">
        <f>=HYPERLINK("https://www.leilaoonline.net/lote/detalhe/171313", " Single Phase Transformador - Marca: Siemens - Type: 4AN81 326-2/6 326VA - 50/60 Hz - Serial: WA392091/05 - Classe 1/ip-00 - 12 peças")</f>
      </c>
      <c r="C274" s="4" t="inlineStr">
        <is>
          <t>Não vendido</t>
        </is>
      </c>
      <c r="D274" s="4" t="inlineStr">
        <is>
          <t>0</t>
        </is>
      </c>
      <c r="E274" s="5" t="inlineStr">
        <is>
          <t>1.500,00</t>
        </is>
      </c>
      <c r="F274" s="4" t="inlineStr">
        <is>
          <t>250.00</t>
        </is>
      </c>
    </row>
    <row collapsed="false" customFormat="false" customHeight="false" hidden="false" ht="12.1" outlineLevel="0" r="275">
      <c r="A275" s="5" t="s">
        <f>=HYPERLINK("https://www.leilaoonline.net/lote/detalhe/171314", "264")</f>
      </c>
      <c r="B275" s="4" t="s">
        <f>=HYPERLINK("https://www.leilaoonline.net/lote/detalhe/171314", " Transformador diversos tipos e marcas, modelos, amperes - Diversas correntes elétrica - 10 peças")</f>
      </c>
      <c r="C275" s="4" t="inlineStr">
        <is>
          <t>Não vendido</t>
        </is>
      </c>
      <c r="D275" s="4" t="inlineStr">
        <is>
          <t>0</t>
        </is>
      </c>
      <c r="E275" s="5" t="inlineStr">
        <is>
          <t>1.300,00</t>
        </is>
      </c>
      <c r="F275" s="4" t="inlineStr">
        <is>
          <t>250.00</t>
        </is>
      </c>
    </row>
    <row collapsed="false" customFormat="false" customHeight="false" hidden="false" ht="12.1" outlineLevel="0" r="276">
      <c r="A276" s="5" t="s">
        <f>=HYPERLINK("https://www.leilaoonline.net/lote/detalhe/171312", "265")</f>
      </c>
      <c r="B276" s="4" t="s">
        <f>=HYPERLINK("https://www.leilaoonline.net/lote/detalhe/171312", " Disjuntores caixa moldada 3P marca ABB diversos modelos tipos (1 peça 630A), (1 peça 500A), (3 peças 160A), (6 peças 400A), (2 peças 40A), (3 peças 63A), (1 peça 80A), (3 peças 100A), (2 peças 200A), (1 peça 800A), (1 peça 25A) - Total de amperes 5.884 - Total de peças 24")</f>
      </c>
      <c r="C276" s="4" t="inlineStr">
        <is>
          <t>Não vendido</t>
        </is>
      </c>
      <c r="D276" s="4" t="inlineStr">
        <is>
          <t>0</t>
        </is>
      </c>
      <c r="E276" s="5" t="inlineStr">
        <is>
          <t>10.000,00</t>
        </is>
      </c>
      <c r="F276" s="4" t="inlineStr">
        <is>
          <t>250.00</t>
        </is>
      </c>
    </row>
    <row collapsed="false" customFormat="false" customHeight="false" hidden="false" ht="12.1" outlineLevel="0" r="277">
      <c r="A277" s="5" t="s">
        <f>=HYPERLINK("https://www.leilaoonline.net/lote/detalhe/171316", "266")</f>
      </c>
      <c r="B277" s="4" t="s">
        <f>=HYPERLINK("https://www.leilaoonline.net/lote/detalhe/171316", " Disjuntores caixa moldada 3P - Marca ABB diversos modelos tipos (4 peças 630A), (8 peças 200A), (7 peças 250A), (4 peças 125A), (4 peças 50A), (4 peças 400A), (3 peças 630A) - Total de amperes 10.060 - Total de peças 34")</f>
      </c>
      <c r="C277" s="4" t="inlineStr">
        <is>
          <t>Não vendido</t>
        </is>
      </c>
      <c r="D277" s="4" t="inlineStr">
        <is>
          <t>0</t>
        </is>
      </c>
      <c r="E277" s="5" t="inlineStr">
        <is>
          <t>15.000,00</t>
        </is>
      </c>
      <c r="F277" s="4" t="inlineStr">
        <is>
          <t>250.00</t>
        </is>
      </c>
    </row>
    <row collapsed="false" customFormat="false" customHeight="false" hidden="false" ht="12.1" outlineLevel="0" r="278">
      <c r="A278" s="5" t="s">
        <f>=HYPERLINK("https://www.leilaoonline.net/lote/detalhe/171315", "267")</f>
      </c>
      <c r="B278" s="4" t="s">
        <f>=HYPERLINK("https://www.leilaoonline.net/lote/detalhe/171315", " Disjuntores caixa moldada 3P marca ABB Space Tmax - Modelo Tmax T7 S 1250-1250A 85KA com Sace PR231/P - S/N 44708TO7A - 4 Peças")</f>
      </c>
      <c r="C278" s="4" t="inlineStr">
        <is>
          <t>Não vendido</t>
        </is>
      </c>
      <c r="D278" s="4" t="inlineStr">
        <is>
          <t>0</t>
        </is>
      </c>
      <c r="E278" s="5" t="inlineStr">
        <is>
          <t>12.000,00</t>
        </is>
      </c>
      <c r="F278" s="4" t="inlineStr">
        <is>
          <t>250.00</t>
        </is>
      </c>
    </row>
    <row collapsed="false" customFormat="false" customHeight="false" hidden="false" ht="12.1" outlineLevel="0" r="279">
      <c r="A279" s="5" t="s">
        <f>=HYPERLINK("https://www.leilaoonline.net/lote/detalhe/171319", "268")</f>
      </c>
      <c r="B279" s="4" t="s">
        <f>=HYPERLINK("https://www.leilaoonline.net/lote/detalhe/171319", " Disjuntores caixa moldada 4p - Marca ABB - Modelo Sace S6N 630A 65KA com Sace 56S 800A 85KA - Modelo Sace 56N 630A 65KA com Sace 36N630A com 85KA - 2 peças")</f>
      </c>
      <c r="C279" s="4" t="inlineStr">
        <is>
          <t>Não vendido</t>
        </is>
      </c>
      <c r="D279" s="4" t="inlineStr">
        <is>
          <t>0</t>
        </is>
      </c>
      <c r="E279" s="5" t="inlineStr">
        <is>
          <t>3.000,00</t>
        </is>
      </c>
      <c r="F279" s="4" t="inlineStr">
        <is>
          <t>250.00</t>
        </is>
      </c>
    </row>
    <row collapsed="false" customFormat="false" customHeight="false" hidden="false" ht="12.1" outlineLevel="0" r="280">
      <c r="A280" s="5" t="s">
        <f>=HYPERLINK("https://www.leilaoonline.net/lote/detalhe/171317", "269")</f>
      </c>
      <c r="B280" s="4" t="s">
        <f>=HYPERLINK("https://www.leilaoonline.net/lote/detalhe/171317", " Disjuntores caixa moldada 3P marca ABB modelos SAC S7H - 1250A 100KA com Sace PR11 1250A - Modelo Sace PR 211 1000A - 2 peças")</f>
      </c>
      <c r="C280" s="4" t="inlineStr">
        <is>
          <t>Não vendido</t>
        </is>
      </c>
      <c r="D280" s="4" t="inlineStr">
        <is>
          <t>0</t>
        </is>
      </c>
      <c r="E280" s="5" t="inlineStr">
        <is>
          <t>7.000,00</t>
        </is>
      </c>
      <c r="F280" s="4" t="inlineStr">
        <is>
          <t>250.00</t>
        </is>
      </c>
    </row>
    <row collapsed="false" customFormat="false" customHeight="false" hidden="false" ht="12.1" outlineLevel="0" r="281">
      <c r="A281" s="5" t="s">
        <f>=HYPERLINK("https://www.leilaoonline.net/lote/detalhe/171318", "270")</f>
      </c>
      <c r="B281" s="4" t="s">
        <f>=HYPERLINK("https://www.leilaoonline.net/lote/detalhe/171318", " Disjuntores caixa moldada 3P - Marca ABB - Modelo SACE 57S 1600A 85KA com SACE PR 211 1600A - Modelo SACE S7H 1250A KA 100 com SACE PR 211 1000A - 2 peças")</f>
      </c>
      <c r="C281" s="4" t="inlineStr">
        <is>
          <t>Não vendido</t>
        </is>
      </c>
      <c r="D281" s="4" t="inlineStr">
        <is>
          <t>0</t>
        </is>
      </c>
      <c r="E281" s="5" t="inlineStr">
        <is>
          <t>9.000,00</t>
        </is>
      </c>
      <c r="F281" s="4" t="inlineStr">
        <is>
          <t>250.00</t>
        </is>
      </c>
    </row>
    <row collapsed="false" customFormat="false" customHeight="false" hidden="false" ht="12.1" outlineLevel="0" r="282">
      <c r="A282" s="5" t="s">
        <f>=HYPERLINK("https://www.leilaoonline.net/lote/detalhe/171321", "271")</f>
      </c>
      <c r="B282" s="4" t="s">
        <f>=HYPERLINK("https://www.leilaoonline.net/lote/detalhe/171321", " Contator 3P marca ABB - modelo AF1250 - 1260A - 450KW - 110-250VDC - 1 peça")</f>
      </c>
      <c r="C282" s="4" t="inlineStr">
        <is>
          <t>Não vendido</t>
        </is>
      </c>
      <c r="D282" s="4" t="inlineStr">
        <is>
          <t>0</t>
        </is>
      </c>
      <c r="E282" s="5" t="inlineStr">
        <is>
          <t>5.000,00</t>
        </is>
      </c>
      <c r="F282" s="4" t="inlineStr">
        <is>
          <t>250.00</t>
        </is>
      </c>
    </row>
    <row collapsed="false" customFormat="false" customHeight="false" hidden="false" ht="12.1" outlineLevel="0" r="283">
      <c r="A283" s="5" t="s">
        <f>=HYPERLINK("https://www.leilaoonline.net/lote/detalhe/171323", "272")</f>
      </c>
      <c r="B283" s="4" t="s">
        <f>=HYPERLINK("https://www.leilaoonline.net/lote/detalhe/171323", " Contator 3P marca ABB - modelo AF1250 - 1260A - 110-250VDC - 1 peça")</f>
      </c>
      <c r="C283" s="4" t="inlineStr">
        <is>
          <t>Não vendido</t>
        </is>
      </c>
      <c r="D283" s="4" t="inlineStr">
        <is>
          <t>0</t>
        </is>
      </c>
      <c r="E283" s="5" t="inlineStr">
        <is>
          <t>5.000,00</t>
        </is>
      </c>
      <c r="F283" s="4" t="inlineStr">
        <is>
          <t>250.00</t>
        </is>
      </c>
    </row>
    <row collapsed="false" customFormat="false" customHeight="false" hidden="false" ht="12.1" outlineLevel="0" r="284">
      <c r="A284" s="5" t="s">
        <f>=HYPERLINK("https://www.leilaoonline.net/lote/detalhe/171320", "273")</f>
      </c>
      <c r="B284" s="4" t="s">
        <f>=HYPERLINK("https://www.leilaoonline.net/lote/detalhe/171320", " Contator 3P marca ABB - modelo AF1250 - 1260A - 110-250VDC - 1 peça")</f>
      </c>
      <c r="C284" s="4" t="inlineStr">
        <is>
          <t>Não vendido</t>
        </is>
      </c>
      <c r="D284" s="4" t="inlineStr">
        <is>
          <t>0</t>
        </is>
      </c>
      <c r="E284" s="5" t="inlineStr">
        <is>
          <t>5.000,00</t>
        </is>
      </c>
      <c r="F284" s="4" t="inlineStr">
        <is>
          <t>250.00</t>
        </is>
      </c>
    </row>
    <row collapsed="false" customFormat="false" customHeight="false" hidden="false" ht="12.1" outlineLevel="0" r="285">
      <c r="A285" s="5" t="s">
        <f>=HYPERLINK("https://www.leilaoonline.net/lote/detalhe/171324", "274")</f>
      </c>
      <c r="B285" s="4" t="s">
        <f>=HYPERLINK("https://www.leilaoonline.net/lote/detalhe/171324", " Contator 3P marca ABB - modelo AF1250 - 1260A - 110-250VDC - 1 peça")</f>
      </c>
      <c r="C285" s="4" t="inlineStr">
        <is>
          <t>Não vendido</t>
        </is>
      </c>
      <c r="D285" s="4" t="inlineStr">
        <is>
          <t>0</t>
        </is>
      </c>
      <c r="E285" s="5" t="inlineStr">
        <is>
          <t>5.000,00</t>
        </is>
      </c>
      <c r="F285" s="4" t="inlineStr">
        <is>
          <t>250.00</t>
        </is>
      </c>
    </row>
    <row collapsed="false" customFormat="false" customHeight="false" hidden="false" ht="12.1" outlineLevel="0" r="286">
      <c r="A286" s="5" t="s">
        <f>=HYPERLINK("https://www.leilaoonline.net/lote/detalhe/171322", "275")</f>
      </c>
      <c r="B286" s="4" t="s">
        <f>=HYPERLINK("https://www.leilaoonline.net/lote/detalhe/171322", " Contator 3P - marca Eaton - modelo XTCE300N 24-48VDC XTC(E)(S)300N - 3 Peças")</f>
      </c>
      <c r="C286" s="4" t="inlineStr">
        <is>
          <t>Não vendido</t>
        </is>
      </c>
      <c r="D286" s="4" t="inlineStr">
        <is>
          <t>0</t>
        </is>
      </c>
      <c r="E286" s="5" t="inlineStr">
        <is>
          <t>5.000,00</t>
        </is>
      </c>
      <c r="F286" s="4" t="inlineStr">
        <is>
          <t>250.00</t>
        </is>
      </c>
    </row>
    <row collapsed="false" customFormat="false" customHeight="false" hidden="false" ht="12.1" outlineLevel="0" r="287">
      <c r="A287" s="5" t="s">
        <f>=HYPERLINK("https://www.leilaoonline.net/lote/detalhe/171326", "276")</f>
      </c>
      <c r="B287" s="4" t="s">
        <f>=HYPERLINK("https://www.leilaoonline.net/lote/detalhe/171326", " Contator 3P - marca ABB - modelo AF 400-30 600A - KW 220-240=110 - 110-250 VDC - 2 peças")</f>
      </c>
      <c r="C287" s="4" t="inlineStr">
        <is>
          <t>Não vendido</t>
        </is>
      </c>
      <c r="D287" s="4" t="inlineStr">
        <is>
          <t>0</t>
        </is>
      </c>
      <c r="E287" s="5" t="inlineStr">
        <is>
          <t>4.000,00</t>
        </is>
      </c>
      <c r="F287" s="4" t="inlineStr">
        <is>
          <t>250.00</t>
        </is>
      </c>
    </row>
    <row collapsed="false" customFormat="false" customHeight="false" hidden="false" ht="12.1" outlineLevel="0" r="288">
      <c r="A288" s="5" t="s">
        <f>=HYPERLINK("https://www.leilaoonline.net/lote/detalhe/171325", "277")</f>
      </c>
      <c r="B288" s="4" t="s">
        <f>=HYPERLINK("https://www.leilaoonline.net/lote/detalhe/171325", " Contator 3P - marca Schneider - modelo LC1F630 - Tesys - amperagem 1000 - Bobina LX1FL220 - 220 240V - 40 400 Hertz - 1 peça")</f>
      </c>
      <c r="C288" s="4" t="inlineStr">
        <is>
          <t>Não vendido</t>
        </is>
      </c>
      <c r="D288" s="4" t="inlineStr">
        <is>
          <t>0</t>
        </is>
      </c>
      <c r="E288" s="5" t="inlineStr">
        <is>
          <t>15.000,00</t>
        </is>
      </c>
      <c r="F288" s="4" t="inlineStr">
        <is>
          <t>250.00</t>
        </is>
      </c>
    </row>
    <row collapsed="false" customFormat="false" customHeight="false" hidden="false" ht="12.1" outlineLevel="0" r="289">
      <c r="A289" s="5" t="s">
        <f>=HYPERLINK("https://www.leilaoonline.net/lote/detalhe/171327", "278")</f>
      </c>
      <c r="B289" s="4" t="s">
        <f>=HYPERLINK("https://www.leilaoonline.net/lote/detalhe/171327", " Contator 3P - marca Schneider - modelo LC1F630 - Tesys - amperagem 1000A - Bobina LXL220 - 220 240V - 40 400 Hertz - 1 peça")</f>
      </c>
      <c r="C289" s="4" t="inlineStr">
        <is>
          <t>Não vendido</t>
        </is>
      </c>
      <c r="D289" s="4" t="inlineStr">
        <is>
          <t>0</t>
        </is>
      </c>
      <c r="E289" s="5" t="inlineStr">
        <is>
          <t>15.000,00</t>
        </is>
      </c>
      <c r="F289" s="4" t="inlineStr">
        <is>
          <t>250.00</t>
        </is>
      </c>
    </row>
    <row collapsed="false" customFormat="false" customHeight="false" hidden="false" ht="12.1" outlineLevel="0" r="290">
      <c r="A290" s="5" t="s">
        <f>=HYPERLINK("https://www.leilaoonline.net/lote/detalhe/171329", "279")</f>
      </c>
      <c r="B290" s="4" t="s">
        <f>=HYPERLINK("https://www.leilaoonline.net/lote/detalhe/171329", " Contator 3P - marca Schneider - modelo LC1F630 - Tesys - amperagem 1000A - Bobina LXL220 - 220 240V - 40 400 Hertz - 1 peça")</f>
      </c>
      <c r="C290" s="4" t="inlineStr">
        <is>
          <t>Não vendido</t>
        </is>
      </c>
      <c r="D290" s="4" t="inlineStr">
        <is>
          <t>0</t>
        </is>
      </c>
      <c r="E290" s="5" t="inlineStr">
        <is>
          <t>15.000,00</t>
        </is>
      </c>
      <c r="F290" s="4" t="inlineStr">
        <is>
          <t>250.00</t>
        </is>
      </c>
    </row>
    <row collapsed="false" customFormat="false" customHeight="false" hidden="false" ht="12.1" outlineLevel="0" r="291">
      <c r="A291" s="5" t="s">
        <f>=HYPERLINK("https://www.leilaoonline.net/lote/detalhe/171328", "280")</f>
      </c>
      <c r="B291" s="4" t="s">
        <f>=HYPERLINK("https://www.leilaoonline.net/lote/detalhe/171328", " Contator 3P - Marca: Telemecanique - Modelo LC1 F400 - Amperes 500A - 2 peças")</f>
      </c>
      <c r="C291" s="4" t="inlineStr">
        <is>
          <t>Não vendido</t>
        </is>
      </c>
      <c r="D291" s="4" t="inlineStr">
        <is>
          <t>0</t>
        </is>
      </c>
      <c r="E291" s="5" t="inlineStr">
        <is>
          <t>3.000,00</t>
        </is>
      </c>
      <c r="F291" s="4" t="inlineStr">
        <is>
          <t>250.00</t>
        </is>
      </c>
    </row>
    <row collapsed="false" customFormat="false" customHeight="false" hidden="false" ht="12.1" outlineLevel="0" r="292">
      <c r="A292" s="5" t="s">
        <f>=HYPERLINK("https://www.leilaoonline.net/lote/detalhe/171330", "281")</f>
      </c>
      <c r="B292" s="4" t="s">
        <f>=HYPERLINK("https://www.leilaoonline.net/lote/detalhe/171330", " Contator 3P - marca Schneider - modelo LC1F150 - amperes: 250A - Bobina LX1FF220 - 220 230V - 50 Hertz e LX1FF265 - 277V - 60 Hertz - 2 peças")</f>
      </c>
      <c r="C292" s="4" t="inlineStr">
        <is>
          <t>Não vendido</t>
        </is>
      </c>
      <c r="D292" s="4" t="inlineStr">
        <is>
          <t>0</t>
        </is>
      </c>
      <c r="E292" s="5" t="inlineStr">
        <is>
          <t>3.000,00</t>
        </is>
      </c>
      <c r="F292" s="4" t="inlineStr">
        <is>
          <t>250.00</t>
        </is>
      </c>
    </row>
    <row collapsed="false" customFormat="false" customHeight="false" hidden="false" ht="12.1" outlineLevel="0" r="293">
      <c r="A293" s="5" t="s">
        <f>=HYPERLINK("https://www.leilaoonline.net/lote/detalhe/171333", "282")</f>
      </c>
      <c r="B293" s="4" t="s">
        <f>=HYPERLINK("https://www.leilaoonline.net/lote/detalhe/171333", " Contator 3P - marca ABB - modelo EH145C-Y11 - amperes: 230A - Bobina: 24V DC - 4 peças e o modelo: e EH145C2P-Y - amperes 170A - Bobina 24V DC - 2 peças - Total de peças 6")</f>
      </c>
      <c r="C293" s="4" t="inlineStr">
        <is>
          <t>Não vendido</t>
        </is>
      </c>
      <c r="D293" s="4" t="inlineStr">
        <is>
          <t>0</t>
        </is>
      </c>
      <c r="E293" s="5" t="inlineStr">
        <is>
          <t>1.500,00</t>
        </is>
      </c>
      <c r="F293" s="4" t="inlineStr">
        <is>
          <t>250.00</t>
        </is>
      </c>
    </row>
    <row collapsed="false" customFormat="false" customHeight="false" hidden="false" ht="12.1" outlineLevel="0" r="294">
      <c r="A294" s="5" t="s">
        <f>=HYPERLINK("https://www.leilaoonline.net/lote/detalhe/171331", "283")</f>
      </c>
      <c r="B294" s="4" t="s">
        <f>=HYPERLINK("https://www.leilaoonline.net/lote/detalhe/171331", " Chaves seccionadora - 3P - marca: ABB - modelo: XLP2 -2 peças com fusível 250A - modelo 3NA3 144 NH1-GG 120KA - Siemens")</f>
      </c>
      <c r="C294" s="4" t="inlineStr">
        <is>
          <t>Não vendido</t>
        </is>
      </c>
      <c r="D294" s="4" t="inlineStr">
        <is>
          <t>0</t>
        </is>
      </c>
      <c r="E294" s="5" t="inlineStr">
        <is>
          <t>1.000,00</t>
        </is>
      </c>
      <c r="F294" s="4" t="inlineStr">
        <is>
          <t>250.00</t>
        </is>
      </c>
    </row>
    <row collapsed="false" customFormat="false" customHeight="false" hidden="false" ht="12.1" outlineLevel="0" r="295">
      <c r="A295" s="5" t="s">
        <f>=HYPERLINK("https://www.leilaoonline.net/lote/detalhe/171334", "284")</f>
      </c>
      <c r="B295" s="4" t="s">
        <f>=HYPERLINK("https://www.leilaoonline.net/lote/detalhe/171334", " Chaves seccionadora - 3P - marca: ABB - modelo: XLP1 - 2 peças com fusível - Siemens")</f>
      </c>
      <c r="C295" s="4" t="inlineStr">
        <is>
          <t>Não vendido</t>
        </is>
      </c>
      <c r="D295" s="4" t="inlineStr">
        <is>
          <t>0</t>
        </is>
      </c>
      <c r="E295" s="5" t="inlineStr">
        <is>
          <t>6.000,00</t>
        </is>
      </c>
      <c r="F295" s="4" t="inlineStr">
        <is>
          <t>250.00</t>
        </is>
      </c>
    </row>
    <row collapsed="false" customFormat="false" customHeight="false" hidden="false" ht="12.1" outlineLevel="0" r="296">
      <c r="A296" s="5" t="s">
        <f>=HYPERLINK("https://www.leilaoonline.net/lote/detalhe/171335", "285")</f>
      </c>
      <c r="B296" s="4" t="s">
        <f>=HYPERLINK("https://www.leilaoonline.net/lote/detalhe/171335", " Chaves seccionadora - 3P - marca: ABB - modelo: XLP1 - 2 peças com fusível 200A - Siemens e outro com fusível 250A - HRC Bussmamm")</f>
      </c>
      <c r="C296" s="4" t="inlineStr">
        <is>
          <t>Não vendido</t>
        </is>
      </c>
      <c r="D296" s="4" t="inlineStr">
        <is>
          <t>0</t>
        </is>
      </c>
      <c r="E296" s="5" t="inlineStr">
        <is>
          <t>1.000,00</t>
        </is>
      </c>
      <c r="F296" s="4" t="inlineStr">
        <is>
          <t>250.00</t>
        </is>
      </c>
    </row>
    <row collapsed="false" customFormat="false" customHeight="false" hidden="false" ht="12.1" outlineLevel="0" r="297">
      <c r="A297" s="5" t="s">
        <f>=HYPERLINK("https://www.leilaoonline.net/lote/detalhe/171332", "286")</f>
      </c>
      <c r="B297" s="4" t="s">
        <f>=HYPERLINK("https://www.leilaoonline.net/lote/detalhe/171332", " Chaves seccionadora - 3P - marca: ABB - modelo: XLP3 - 1 peça com fusível 630 retardo DIN 3 e outro Modelo: XLP2 - 1 peça com fusível 250A - HRC Bussmamm - 2 peças")</f>
      </c>
      <c r="C297" s="4" t="inlineStr">
        <is>
          <t>Não vendido</t>
        </is>
      </c>
      <c r="D297" s="4" t="inlineStr">
        <is>
          <t>0</t>
        </is>
      </c>
      <c r="E297" s="5" t="inlineStr">
        <is>
          <t>1.000,00</t>
        </is>
      </c>
      <c r="F297" s="4" t="inlineStr">
        <is>
          <t>250.00</t>
        </is>
      </c>
    </row>
    <row collapsed="false" customFormat="false" customHeight="false" hidden="false" ht="12.1" outlineLevel="0" r="298">
      <c r="A298" s="5" t="s">
        <f>=HYPERLINK("https://www.leilaoonline.net/lote/detalhe/171336", "287")</f>
      </c>
      <c r="B298" s="4" t="s">
        <f>=HYPERLINK("https://www.leilaoonline.net/lote/detalhe/171336", " AC semicondutor motor started - Marca Siemens EO4 - modelo 3RW3346-OEC34 - (1 peça - 200/230/460 - Voltagem 3 PH 50/60 hz) - (1 peça - 50/60/125 HP - Indelta) - (1 peça - 156 amperes indelta) - (1 peça 25/30/60 HP-inline) - (1 peça - 80 Le, Amps in line) - Total de peças- 6 peças")</f>
      </c>
      <c r="C298" s="4" t="inlineStr">
        <is>
          <t>Não vendido</t>
        </is>
      </c>
      <c r="D298" s="4" t="inlineStr">
        <is>
          <t>0</t>
        </is>
      </c>
      <c r="E298" s="5" t="inlineStr">
        <is>
          <t>9.000,00</t>
        </is>
      </c>
      <c r="F298" s="4" t="inlineStr">
        <is>
          <t>250.00</t>
        </is>
      </c>
    </row>
    <row collapsed="false" customFormat="false" customHeight="false" hidden="false" ht="12.1" outlineLevel="0" r="299">
      <c r="A299" s="5" t="s">
        <f>=HYPERLINK("https://www.leilaoonline.net/lote/detalhe/171337", "288")</f>
      </c>
      <c r="B299" s="4" t="s">
        <f>=HYPERLINK("https://www.leilaoonline.net/lote/detalhe/171337", " AC semicondutor motor started - Marca Siemens EO4 - modelo 3RW3346-OEC34 - (1 peça - 200/230/460 - Voltagem 3 PH 50/60 hz) - (1 peça - 50/60/125 HP - Indelta) - (1 peça 50/60/125 HP-inline) - (1 peça - 156 amperes indelta) - (1 peça- 25/30/160 - HP-IN line ) - (1 peça - 80 Le, Amps in line) - Total")</f>
      </c>
      <c r="C299" s="4" t="inlineStr">
        <is>
          <t>Não vendido</t>
        </is>
      </c>
      <c r="D299" s="4" t="inlineStr">
        <is>
          <t>0</t>
        </is>
      </c>
      <c r="E299" s="5" t="inlineStr">
        <is>
          <t>9.000,00</t>
        </is>
      </c>
      <c r="F299" s="4" t="inlineStr">
        <is>
          <t>250.00</t>
        </is>
      </c>
    </row>
    <row collapsed="false" customFormat="false" customHeight="false" hidden="false" ht="12.1" outlineLevel="0" r="300">
      <c r="A300" s="5" t="s">
        <f>=HYPERLINK("https://www.leilaoonline.net/lote/detalhe/171338", "289")</f>
      </c>
      <c r="B300" s="4" t="s">
        <f>=HYPERLINK("https://www.leilaoonline.net/lote/detalhe/171338", " Disjuntor caixa moldada com manopla 3P marca: ABB modelo: T-max - Peças de 50A a 650A - total de peças: 97 - total de amperes: 12.532")</f>
      </c>
      <c r="C300" s="4" t="inlineStr">
        <is>
          <t>Não vendido</t>
        </is>
      </c>
      <c r="D300" s="4" t="inlineStr">
        <is>
          <t>0</t>
        </is>
      </c>
      <c r="E300" s="5" t="inlineStr">
        <is>
          <t>13.000,00</t>
        </is>
      </c>
      <c r="F300" s="4" t="inlineStr">
        <is>
          <t>250.00</t>
        </is>
      </c>
    </row>
    <row collapsed="false" customFormat="false" customHeight="false" hidden="false" ht="12.1" outlineLevel="0" r="301">
      <c r="A301" s="5" t="s">
        <f>=HYPERLINK("https://www.leilaoonline.net/lote/detalhe/171339", "290")</f>
      </c>
      <c r="B301" s="4" t="s">
        <f>=HYPERLINK("https://www.leilaoonline.net/lote/detalhe/171339", " Multimedidor para sistema trifásico com monofásico - IDM144 - Marca: ABB - Modelo IDM 144 - N00391242424321 - Emtrada: IN5A1UN 254/440V (60 hz / classe 0,5%) com RS485 UAUX: 85...265VAC/90...300VDC - 2 peças")</f>
      </c>
      <c r="C301" s="4" t="inlineStr">
        <is>
          <t>Não vendido</t>
        </is>
      </c>
      <c r="D301" s="4" t="inlineStr">
        <is>
          <t>0</t>
        </is>
      </c>
      <c r="E301" s="5" t="inlineStr">
        <is>
          <t>1.000,00</t>
        </is>
      </c>
      <c r="F301" s="4" t="inlineStr">
        <is>
          <t>150.00</t>
        </is>
      </c>
    </row>
    <row collapsed="false" customFormat="false" customHeight="false" hidden="false" ht="12.1" outlineLevel="0" r="302">
      <c r="A302" s="5" t="s">
        <f>=HYPERLINK("https://www.leilaoonline.net/lote/detalhe/171341", "291")</f>
      </c>
      <c r="B302" s="4" t="s">
        <f>=HYPERLINK("https://www.leilaoonline.net/lote/detalhe/171341", " Multimedidor para sistema trifásico com monofásico - IDM144 - Marca: ABB - Modelo IDM 144 - N00391242424321 - Emtrada: IN5A1UN 254/440V (60 hz / classe 0,5%) com RS485 UAUX: 85...265VAC/90...300VDC - 2 peças")</f>
      </c>
      <c r="C302" s="4" t="inlineStr">
        <is>
          <t>Não vendido</t>
        </is>
      </c>
      <c r="D302" s="4" t="inlineStr">
        <is>
          <t>0</t>
        </is>
      </c>
      <c r="E302" s="5" t="inlineStr">
        <is>
          <t>1.000,00</t>
        </is>
      </c>
      <c r="F302" s="4" t="inlineStr">
        <is>
          <t>150.00</t>
        </is>
      </c>
    </row>
    <row collapsed="false" customFormat="false" customHeight="false" hidden="false" ht="12.1" outlineLevel="0" r="303">
      <c r="A303" s="5" t="s">
        <f>=HYPERLINK("https://www.leilaoonline.net/lote/detalhe/171340", "292")</f>
      </c>
      <c r="B303" s="4" t="s">
        <f>=HYPERLINK("https://www.leilaoonline.net/lote/detalhe/171340", " Multimedidor para sistema trifásico com monofásico - IDM144 - Marca: ABB - Modelo IDM 144 - N00391242424321 - Emtrada: IN5A1UN 254/440V (60 hz / classe 0,5%) com RS485 UAUX: 85...265VAC/90...300VDC - 2 peças")</f>
      </c>
      <c r="C303" s="4" t="inlineStr">
        <is>
          <t>Não vendido</t>
        </is>
      </c>
      <c r="D303" s="4" t="inlineStr">
        <is>
          <t>0</t>
        </is>
      </c>
      <c r="E303" s="5" t="inlineStr">
        <is>
          <t>1.000,00</t>
        </is>
      </c>
      <c r="F303" s="4" t="inlineStr">
        <is>
          <t>150.00</t>
        </is>
      </c>
    </row>
    <row collapsed="false" customFormat="false" customHeight="false" hidden="false" ht="12.1" outlineLevel="0" r="304">
      <c r="A304" s="5" t="s">
        <f>=HYPERLINK("https://www.leilaoonline.net/lote/detalhe/171342", "293")</f>
      </c>
      <c r="B304" s="4" t="s">
        <f>=HYPERLINK("https://www.leilaoonline.net/lote/detalhe/171342", " Multimedidor para sistema trifásico com monofásico - IDM144 - Marca: ABB - Modelo IDM 144 - N00391242424321 - Emtrada: IN5A1UN 254/440V (60 hz / classe 0,5%) com RS485 UAUX: 85...265VAC/90...300VDC - 2 peças")</f>
      </c>
      <c r="C304" s="4" t="inlineStr">
        <is>
          <t>Não vendido</t>
        </is>
      </c>
      <c r="D304" s="4" t="inlineStr">
        <is>
          <t>0</t>
        </is>
      </c>
      <c r="E304" s="5" t="inlineStr">
        <is>
          <t>1.000,00</t>
        </is>
      </c>
      <c r="F304" s="4" t="inlineStr">
        <is>
          <t>150.00</t>
        </is>
      </c>
    </row>
    <row collapsed="false" customFormat="false" customHeight="false" hidden="false" ht="12.1" outlineLevel="0" r="305">
      <c r="A305" s="5" t="s">
        <f>=HYPERLINK("https://www.leilaoonline.net/lote/detalhe/171344", "294")</f>
      </c>
      <c r="B305" s="4" t="s">
        <f>=HYPERLINK("https://www.leilaoonline.net/lote/detalhe/171344", " Multimedidor para sistema trifásico com monofásico - IDM144 - Marca: ABB - Modelo IDM 144 - N00391242424321 - Emtrada: IN5A1UN 254/440V (60 hz / classe 0,5%) com RS485 UAUX: 85...265VAC/90...300VDC - 2 peças")</f>
      </c>
      <c r="C305" s="4" t="inlineStr">
        <is>
          <t>Não vendido</t>
        </is>
      </c>
      <c r="D305" s="4" t="inlineStr">
        <is>
          <t>0</t>
        </is>
      </c>
      <c r="E305" s="5" t="inlineStr">
        <is>
          <t>1.000,00</t>
        </is>
      </c>
      <c r="F305" s="4" t="inlineStr">
        <is>
          <t>150.00</t>
        </is>
      </c>
    </row>
    <row collapsed="false" customFormat="false" customHeight="false" hidden="false" ht="12.1" outlineLevel="0" r="306">
      <c r="A306" s="5" t="s">
        <f>=HYPERLINK("https://www.leilaoonline.net/lote/detalhe/171343", "295")</f>
      </c>
      <c r="B306" s="4" t="s">
        <f>=HYPERLINK("https://www.leilaoonline.net/lote/detalhe/171343", " Multimedidor para sistema trifásico com monofásico - IDM144 - Marca: ABB - Modelo IDM 144 - N00391242424321 - Emtrada: IN5A1UN 254/440V (60 hz / classe 0,5%) com RS485 UAUX: 85...265VAC/90...300VDC - 2 peças")</f>
      </c>
      <c r="C306" s="4" t="inlineStr">
        <is>
          <t>Não vendido</t>
        </is>
      </c>
      <c r="D306" s="4" t="inlineStr">
        <is>
          <t>0</t>
        </is>
      </c>
      <c r="E306" s="5" t="inlineStr">
        <is>
          <t>1.000,00</t>
        </is>
      </c>
      <c r="F306" s="4" t="inlineStr">
        <is>
          <t>150.00</t>
        </is>
      </c>
    </row>
    <row collapsed="false" customFormat="false" customHeight="false" hidden="false" ht="12.1" outlineLevel="0" r="307">
      <c r="A307" s="5" t="s">
        <f>=HYPERLINK("https://www.leilaoonline.net/lote/detalhe/171347", "296")</f>
      </c>
      <c r="B307" s="4" t="s">
        <f>=HYPERLINK("https://www.leilaoonline.net/lote/detalhe/171347", " Multimedidor para sistema trifásico com monofásico - IDM144 - Marca: ABB - Modelo IDM 144 - N00391242424321 - Emtrada: IN5A1UN 254/440V (60 hz / classe 0,5%) com RS485 UAUX: 85...265VAC/90...300VDC - 2 peças")</f>
      </c>
      <c r="C307" s="4" t="inlineStr">
        <is>
          <t>Não vendido</t>
        </is>
      </c>
      <c r="D307" s="4" t="inlineStr">
        <is>
          <t>0</t>
        </is>
      </c>
      <c r="E307" s="5" t="inlineStr">
        <is>
          <t>1.000,00</t>
        </is>
      </c>
      <c r="F307" s="4" t="inlineStr">
        <is>
          <t>150.00</t>
        </is>
      </c>
    </row>
    <row collapsed="false" customFormat="false" customHeight="false" hidden="false" ht="12.1" outlineLevel="0" r="308">
      <c r="A308" s="5" t="s">
        <f>=HYPERLINK("https://www.leilaoonline.net/lote/detalhe/171346", "297")</f>
      </c>
      <c r="B308" s="4" t="s">
        <f>=HYPERLINK("https://www.leilaoonline.net/lote/detalhe/171346", " Multimedidor para sistema trifásico com monofásico - IDM144 - Marca: ABB - Modelo IDM 144 - N00391242424321 - Emtrada: IN5A1UN 254/440V (60 hz / classe 0,5%) com RS485 UAUX: 85...265VAC/90...300VDC - 2 peças")</f>
      </c>
      <c r="C308" s="4" t="inlineStr">
        <is>
          <t>Não vendido</t>
        </is>
      </c>
      <c r="D308" s="4" t="inlineStr">
        <is>
          <t>0</t>
        </is>
      </c>
      <c r="E308" s="5" t="inlineStr">
        <is>
          <t>1.000,00</t>
        </is>
      </c>
      <c r="F308" s="4" t="inlineStr">
        <is>
          <t>150.00</t>
        </is>
      </c>
    </row>
    <row collapsed="false" customFormat="false" customHeight="false" hidden="false" ht="12.1" outlineLevel="0" r="309">
      <c r="A309" s="5" t="s">
        <f>=HYPERLINK("https://www.leilaoonline.net/lote/detalhe/171345", "298")</f>
      </c>
      <c r="B309" s="4" t="s">
        <f>=HYPERLINK("https://www.leilaoonline.net/lote/detalhe/171345", " Multimedidor para sistema trifásico com monofásico - IDM144 - Marca: ABB - Modelo IDM 144 - N00391242424321 - Emtrada: IN5A1UN 254/440V (60 hz / classe 0,5%) com RS485 UAUX: 85...265VAC/90...300VDC - 2 peças")</f>
      </c>
      <c r="C309" s="4" t="inlineStr">
        <is>
          <t>Não vendido</t>
        </is>
      </c>
      <c r="D309" s="4" t="inlineStr">
        <is>
          <t>0</t>
        </is>
      </c>
      <c r="E309" s="5" t="inlineStr">
        <is>
          <t>1.000,00</t>
        </is>
      </c>
      <c r="F309" s="4" t="inlineStr">
        <is>
          <t>150.00</t>
        </is>
      </c>
    </row>
    <row collapsed="false" customFormat="false" customHeight="false" hidden="false" ht="12.1" outlineLevel="0" r="310">
      <c r="A310" s="5" t="s">
        <f>=HYPERLINK("https://www.leilaoonline.net/lote/detalhe/171349", "299")</f>
      </c>
      <c r="B310" s="4" t="s">
        <f>=HYPERLINK("https://www.leilaoonline.net/lote/detalhe/171349", " Multimedidor para sistema trifásico com monofásico - IDM144 - Marca: ABB - Modelo IDM 144 - N00391242424321 - Emtrada: IN5A1UN 254/440V (60 hz / classe 0,5%) com RS485 UAUX: 85...265VAC/90...300VDC - 2 peças")</f>
      </c>
      <c r="C310" s="4" t="inlineStr">
        <is>
          <t>Não vendido</t>
        </is>
      </c>
      <c r="D310" s="4" t="inlineStr">
        <is>
          <t>0</t>
        </is>
      </c>
      <c r="E310" s="5" t="inlineStr">
        <is>
          <t>1.000,00</t>
        </is>
      </c>
      <c r="F310" s="4" t="inlineStr">
        <is>
          <t>150.00</t>
        </is>
      </c>
    </row>
    <row collapsed="false" customFormat="false" customHeight="false" hidden="false" ht="12.1" outlineLevel="0" r="311">
      <c r="A311" s="5" t="s">
        <f>=HYPERLINK("https://www.leilaoonline.net/lote/detalhe/171348", "300")</f>
      </c>
      <c r="B311" s="4" t="s">
        <f>=HYPERLINK("https://www.leilaoonline.net/lote/detalhe/171348", " Multimedidor para sistema trifásico com monofásico - IDM144 - Marca: ABB - Modelo IDM 144 - N00391242424321 - Emtrada: IN5A1UN 254/440V (60 hz / classe 0,5%) com RS485 UAUX: 85...265VAC/90...300VDC - 2 peças")</f>
      </c>
      <c r="C311" s="4" t="inlineStr">
        <is>
          <t>Não vendido</t>
        </is>
      </c>
      <c r="D311" s="4" t="inlineStr">
        <is>
          <t>0</t>
        </is>
      </c>
      <c r="E311" s="5" t="inlineStr">
        <is>
          <t>1.000,00</t>
        </is>
      </c>
      <c r="F311" s="4" t="inlineStr">
        <is>
          <t>150.00</t>
        </is>
      </c>
    </row>
    <row collapsed="false" customFormat="false" customHeight="false" hidden="false" ht="12.1" outlineLevel="0" r="312">
      <c r="A312" s="5" t="s">
        <f>=HYPERLINK("https://www.leilaoonline.net/lote/detalhe/171355", "301")</f>
      </c>
      <c r="B312" s="4" t="s">
        <f>=HYPERLINK("https://www.leilaoonline.net/lote/detalhe/171355", " Multimedidor para sistema trifásico com monofásico - IDM144 - Marca: ABB - Modelo IDM 144 - N00391242424321 - Emtrada: IN5A1UN 254/440V (60 hz / classe 0,5%) com RS485 UAUX: 85...265VAC/90...300VDC - 2 peças")</f>
      </c>
      <c r="C312" s="4" t="inlineStr">
        <is>
          <t>Não vendido</t>
        </is>
      </c>
      <c r="D312" s="4" t="inlineStr">
        <is>
          <t>0</t>
        </is>
      </c>
      <c r="E312" s="5" t="inlineStr">
        <is>
          <t>1.000,00</t>
        </is>
      </c>
      <c r="F312" s="4" t="inlineStr">
        <is>
          <t>150.00</t>
        </is>
      </c>
    </row>
    <row collapsed="false" customFormat="false" customHeight="false" hidden="false" ht="12.1" outlineLevel="0" r="313">
      <c r="A313" s="5" t="s">
        <f>=HYPERLINK("https://www.leilaoonline.net/lote/detalhe/171354", "302")</f>
      </c>
      <c r="B313" s="4" t="s">
        <f>=HYPERLINK("https://www.leilaoonline.net/lote/detalhe/171354", " Multimedidor para sistema trifásico com monofásico - IDM144 - Marca: ABB - Modelo IDM 144 - N00391242424321 - Emtrada: IN5A1UN 254/440V (60 hz / classe 0,5%) com RS485 UAUX: 85...265VAC/90...300VDC - 2 peças")</f>
      </c>
      <c r="C313" s="4" t="inlineStr">
        <is>
          <t>Não vendido</t>
        </is>
      </c>
      <c r="D313" s="4" t="inlineStr">
        <is>
          <t>0</t>
        </is>
      </c>
      <c r="E313" s="5" t="inlineStr">
        <is>
          <t>1.000,00</t>
        </is>
      </c>
      <c r="F313" s="4" t="inlineStr">
        <is>
          <t>150.00</t>
        </is>
      </c>
    </row>
    <row collapsed="false" customFormat="false" customHeight="false" hidden="false" ht="12.1" outlineLevel="0" r="314">
      <c r="A314" s="5" t="s">
        <f>=HYPERLINK("https://www.leilaoonline.net/lote/detalhe/171352", "303")</f>
      </c>
      <c r="B314" s="4" t="s">
        <f>=HYPERLINK("https://www.leilaoonline.net/lote/detalhe/171352", " Multimedidor para sistema trifásico com monofásico - IDM144 - Marca: ABB - Modelo IDM 144 - N00391242424321 - Emtrada: IN5A1UN 254/440V (60 hz / classe 0,5%) com RS485 UAUX: 85...265VAC/90...300VDC - 2 peças")</f>
      </c>
      <c r="C314" s="4" t="inlineStr">
        <is>
          <t>Não vendido</t>
        </is>
      </c>
      <c r="D314" s="4" t="inlineStr">
        <is>
          <t>0</t>
        </is>
      </c>
      <c r="E314" s="5" t="inlineStr">
        <is>
          <t>1.000,00</t>
        </is>
      </c>
      <c r="F314" s="4" t="inlineStr">
        <is>
          <t>150.00</t>
        </is>
      </c>
    </row>
    <row collapsed="false" customFormat="false" customHeight="false" hidden="false" ht="12.1" outlineLevel="0" r="315">
      <c r="A315" s="5" t="s">
        <f>=HYPERLINK("https://www.leilaoonline.net/lote/detalhe/171350", "304")</f>
      </c>
      <c r="B315" s="4" t="s">
        <f>=HYPERLINK("https://www.leilaoonline.net/lote/detalhe/171350", " Multimedidor para sistema trifásico com monofásico - IDM144 - Marca: ABB - Modelo IDM 144 - N00391242424321 - Emtrada: IN5A1UN 254/440V (60 hz / classe 0,5%) com RS485 UAUX: 85...265VAC/90...300VDC - 2 peças")</f>
      </c>
      <c r="C315" s="4" t="inlineStr">
        <is>
          <t>Não vendido</t>
        </is>
      </c>
      <c r="D315" s="4" t="inlineStr">
        <is>
          <t>0</t>
        </is>
      </c>
      <c r="E315" s="5" t="inlineStr">
        <is>
          <t>1.000,00</t>
        </is>
      </c>
      <c r="F315" s="4" t="inlineStr">
        <is>
          <t>150.00</t>
        </is>
      </c>
    </row>
    <row collapsed="false" customFormat="false" customHeight="false" hidden="false" ht="12.1" outlineLevel="0" r="316">
      <c r="A316" s="5" t="s">
        <f>=HYPERLINK("https://www.leilaoonline.net/lote/detalhe/171353", "305")</f>
      </c>
      <c r="B316" s="4" t="s">
        <f>=HYPERLINK("https://www.leilaoonline.net/lote/detalhe/171353", " Multimedidor para sistema trifásico com monofásico - IDM144 - Marca: ABB - Modelo IDM 144 - N00391242424321 - Emtrada: IN5A1UN 254/440V (60 hz / classe 0,5%) com RS485 UAUX: 85...265VAC/90...300VDC - 2 peças")</f>
      </c>
      <c r="C316" s="4" t="inlineStr">
        <is>
          <t>Não vendido</t>
        </is>
      </c>
      <c r="D316" s="4" t="inlineStr">
        <is>
          <t>0</t>
        </is>
      </c>
      <c r="E316" s="5" t="inlineStr">
        <is>
          <t>1.000,00</t>
        </is>
      </c>
      <c r="F316" s="4" t="inlineStr">
        <is>
          <t>150.00</t>
        </is>
      </c>
    </row>
    <row collapsed="false" customFormat="false" customHeight="false" hidden="false" ht="12.1" outlineLevel="0" r="317">
      <c r="A317" s="5" t="s">
        <f>=HYPERLINK("https://www.leilaoonline.net/lote/detalhe/171351", "306")</f>
      </c>
      <c r="B317" s="4" t="s">
        <f>=HYPERLINK("https://www.leilaoonline.net/lote/detalhe/171351", " Multimedidor para sistema trifásico com monofásico - IDM144 - Marca: ABB - Modelo IDM 144 - N00391242424321 - Emtrada: IN5A1UN 254/440V (60 hz / classe 0,5%) com RS485 UAUX: 85...265VAC/90...300VDC - 2 peças")</f>
      </c>
      <c r="C317" s="4" t="inlineStr">
        <is>
          <t>Não vendido</t>
        </is>
      </c>
      <c r="D317" s="4" t="inlineStr">
        <is>
          <t>0</t>
        </is>
      </c>
      <c r="E317" s="5" t="inlineStr">
        <is>
          <t>1.000,00</t>
        </is>
      </c>
      <c r="F317" s="4" t="inlineStr">
        <is>
          <t>150.00</t>
        </is>
      </c>
    </row>
    <row collapsed="false" customFormat="false" customHeight="false" hidden="false" ht="12.1" outlineLevel="0" r="318">
      <c r="A318" s="5" t="s">
        <f>=HYPERLINK("https://www.leilaoonline.net/lote/detalhe/171358", "307")</f>
      </c>
      <c r="B318" s="4" t="s">
        <f>=HYPERLINK("https://www.leilaoonline.net/lote/detalhe/171358", " Multimedidor para sistema trifásico com monofásico - IDM144 - Marca: ABB - Modelo IDM 144 - N00391242424321 - Emtrada: IN5A1UN 254/440V (60 hz / classe 0,5%) com RS485 UAUX: 85...265VAC/90...300VDC - 2 peças")</f>
      </c>
      <c r="C318" s="4" t="inlineStr">
        <is>
          <t>Não vendido</t>
        </is>
      </c>
      <c r="D318" s="4" t="inlineStr">
        <is>
          <t>0</t>
        </is>
      </c>
      <c r="E318" s="5" t="inlineStr">
        <is>
          <t>1.000,00</t>
        </is>
      </c>
      <c r="F318" s="4" t="inlineStr">
        <is>
          <t>150.00</t>
        </is>
      </c>
    </row>
    <row collapsed="false" customFormat="false" customHeight="false" hidden="false" ht="12.1" outlineLevel="0" r="319">
      <c r="A319" s="5" t="s">
        <f>=HYPERLINK("https://www.leilaoonline.net/lote/detalhe/171356", "308")</f>
      </c>
      <c r="B319" s="4" t="s">
        <f>=HYPERLINK("https://www.leilaoonline.net/lote/detalhe/171356", " Multimedidor para sistema trifásico com monofásico - IDM144 - Marca: ABB - Modelo IDM 144 - N00391242424321 - Emtrada: IN5A1UN 254/440V (60 hz / classe 0,5%) com RS485 UAUX: 85...265VAC/90...300VDC - 2 peças")</f>
      </c>
      <c r="C319" s="4" t="inlineStr">
        <is>
          <t>Não vendido</t>
        </is>
      </c>
      <c r="D319" s="4" t="inlineStr">
        <is>
          <t>0</t>
        </is>
      </c>
      <c r="E319" s="5" t="inlineStr">
        <is>
          <t>1.000,00</t>
        </is>
      </c>
      <c r="F319" s="4" t="inlineStr">
        <is>
          <t>150.00</t>
        </is>
      </c>
    </row>
    <row collapsed="false" customFormat="false" customHeight="false" hidden="false" ht="12.1" outlineLevel="0" r="320">
      <c r="A320" s="5" t="s">
        <f>=HYPERLINK("https://www.leilaoonline.net/lote/detalhe/171357", "309")</f>
      </c>
      <c r="B320" s="4" t="s">
        <f>=HYPERLINK("https://www.leilaoonline.net/lote/detalhe/171357", " Multimedidor para sistema trifásico com monofásico - IDM144 - Marca: ABB - Modelo IDM 144 - N00391242424321 - Emtrada: IN5A1UN 254/440V (60 hz / classe 0,5%) com RS485 UAUX: 85...265VAC/90...300VDC - 2 peças")</f>
      </c>
      <c r="C320" s="4" t="inlineStr">
        <is>
          <t>Não vendido</t>
        </is>
      </c>
      <c r="D320" s="4" t="inlineStr">
        <is>
          <t>0</t>
        </is>
      </c>
      <c r="E320" s="5" t="inlineStr">
        <is>
          <t>1.000,00</t>
        </is>
      </c>
      <c r="F320" s="4" t="inlineStr">
        <is>
          <t>150.00</t>
        </is>
      </c>
    </row>
    <row collapsed="false" customFormat="false" customHeight="false" hidden="false" ht="12.1" outlineLevel="0" r="321">
      <c r="A321" s="5" t="s">
        <f>=HYPERLINK("https://www.leilaoonline.net/lote/detalhe/171359", "310")</f>
      </c>
      <c r="B321" s="4" t="s">
        <f>=HYPERLINK("https://www.leilaoonline.net/lote/detalhe/171359", " Multimedidor para sistema trifásico com monofásico - IDM144 - Marca: ABB - Modelo IDM 144 - N00391242424321 - Emtrada: IN5A1UN 254/440V (60 hz / classe 0,5%) com RS485 UAUX: 85...265VAC/90...300VDC - 2 peças")</f>
      </c>
      <c r="C321" s="4" t="inlineStr">
        <is>
          <t>Não vendido</t>
        </is>
      </c>
      <c r="D321" s="4" t="inlineStr">
        <is>
          <t>0</t>
        </is>
      </c>
      <c r="E321" s="5" t="inlineStr">
        <is>
          <t>1.000,00</t>
        </is>
      </c>
      <c r="F321" s="4" t="inlineStr">
        <is>
          <t>150.00</t>
        </is>
      </c>
    </row>
    <row collapsed="false" customFormat="false" customHeight="false" hidden="false" ht="12.1" outlineLevel="0" r="322">
      <c r="A322" s="5" t="s">
        <f>=HYPERLINK("https://www.leilaoonline.net/lote/detalhe/171360", "311")</f>
      </c>
      <c r="B322" s="4" t="s">
        <f>=HYPERLINK("https://www.leilaoonline.net/lote/detalhe/171360", " Multimedidor para sistema trifásico com monofásico - IDM144 - Marca: ABB - Modelo IDM 144 - N00391242424321 - Emtrada: IN5A1UN 254/440V (60 hz / classe 0,5%) com RS485 UAUX: 85...265VAC/90...300VDC - 2 peças")</f>
      </c>
      <c r="C322" s="4" t="inlineStr">
        <is>
          <t>Não vendido</t>
        </is>
      </c>
      <c r="D322" s="4" t="inlineStr">
        <is>
          <t>0</t>
        </is>
      </c>
      <c r="E322" s="5" t="inlineStr">
        <is>
          <t>1.000,00</t>
        </is>
      </c>
      <c r="F322" s="4" t="inlineStr">
        <is>
          <t>150.00</t>
        </is>
      </c>
    </row>
    <row collapsed="false" customFormat="false" customHeight="false" hidden="false" ht="12.1" outlineLevel="0" r="323">
      <c r="A323" s="5" t="s">
        <f>=HYPERLINK("https://www.leilaoonline.net/lote/detalhe/171361", "312")</f>
      </c>
      <c r="B323" s="4" t="s">
        <f>=HYPERLINK("https://www.leilaoonline.net/lote/detalhe/171361", " Multimedidor para sistema trifásico com monofásico - IDM144 - Marca: ABB - Modelo IDM 144 - N00391242424321 - Emtrada: IN5A1UN 254/440V (60 hz / classe 0,5%) com RS485 UAUX: 85...265VAC/90...300VDC - 2 peças")</f>
      </c>
      <c r="C323" s="4" t="inlineStr">
        <is>
          <t>Não vendido</t>
        </is>
      </c>
      <c r="D323" s="4" t="inlineStr">
        <is>
          <t>0</t>
        </is>
      </c>
      <c r="E323" s="5" t="inlineStr">
        <is>
          <t>1.000,00</t>
        </is>
      </c>
      <c r="F323" s="4" t="inlineStr">
        <is>
          <t>150.00</t>
        </is>
      </c>
    </row>
    <row collapsed="false" customFormat="false" customHeight="false" hidden="false" ht="12.1" outlineLevel="0" r="324">
      <c r="A324" s="5" t="s">
        <f>=HYPERLINK("https://www.leilaoonline.net/lote/detalhe/171365", "313")</f>
      </c>
      <c r="B324" s="4" t="s">
        <f>=HYPERLINK("https://www.leilaoonline.net/lote/detalhe/171365", " Multimedidor para sistema trifásico com monofásico - IDM144 - Marca: ABB - Modelo IDM 144 - N00391242424321 - Emtrada: IN5A1UN 254/440V (60 hz / classe 0,5%) com RS485 UAUX: 85...265VAC/90...300VDC - 2 peças")</f>
      </c>
      <c r="C324" s="4" t="inlineStr">
        <is>
          <t>Não vendido</t>
        </is>
      </c>
      <c r="D324" s="4" t="inlineStr">
        <is>
          <t>0</t>
        </is>
      </c>
      <c r="E324" s="5" t="inlineStr">
        <is>
          <t>1.000,00</t>
        </is>
      </c>
      <c r="F324" s="4" t="inlineStr">
        <is>
          <t>150.00</t>
        </is>
      </c>
    </row>
    <row collapsed="false" customFormat="false" customHeight="false" hidden="false" ht="12.1" outlineLevel="0" r="325">
      <c r="A325" s="5" t="s">
        <f>=HYPERLINK("https://www.leilaoonline.net/lote/detalhe/171363", "314")</f>
      </c>
      <c r="B325" s="4" t="s">
        <f>=HYPERLINK("https://www.leilaoonline.net/lote/detalhe/171363", " Multimedidor para sistema trifásico com monofásico - IDM144 - Marca: ABB - Modelo IDM 144 - N00391242424321 - Emtrada: IN5A1UN 254/440V (60 hz / classe 0,5%) com RS485 UAUX: 85...265VAC/90...300VDC - 2 peças")</f>
      </c>
      <c r="C325" s="4" t="inlineStr">
        <is>
          <t>Não vendido</t>
        </is>
      </c>
      <c r="D325" s="4" t="inlineStr">
        <is>
          <t>0</t>
        </is>
      </c>
      <c r="E325" s="5" t="inlineStr">
        <is>
          <t>1.000,00</t>
        </is>
      </c>
      <c r="F325" s="4" t="inlineStr">
        <is>
          <t>150.00</t>
        </is>
      </c>
    </row>
    <row collapsed="false" customFormat="false" customHeight="false" hidden="false" ht="12.1" outlineLevel="0" r="326">
      <c r="A326" s="5" t="s">
        <f>=HYPERLINK("https://www.leilaoonline.net/lote/detalhe/171364", "315")</f>
      </c>
      <c r="B326" s="4" t="s">
        <f>=HYPERLINK("https://www.leilaoonline.net/lote/detalhe/171364", " Multimedidor para sistema trifásico com monofásico - IDM144 - Marca: ABB - Modelo IDM 144 - N00391242424321 - Emtrada: IN5A1UN 254/440V (60 hz / classe 0,5%) com RS485 UAUX: 85...265VAC/90...300VDC - 2 peças")</f>
      </c>
      <c r="C326" s="4" t="inlineStr">
        <is>
          <t>Não vendido</t>
        </is>
      </c>
      <c r="D326" s="4" t="inlineStr">
        <is>
          <t>0</t>
        </is>
      </c>
      <c r="E326" s="5" t="inlineStr">
        <is>
          <t>1.000,00</t>
        </is>
      </c>
      <c r="F326" s="4" t="inlineStr">
        <is>
          <t>150.00</t>
        </is>
      </c>
    </row>
    <row collapsed="false" customFormat="false" customHeight="false" hidden="false" ht="12.1" outlineLevel="0" r="327">
      <c r="A327" s="5" t="s">
        <f>=HYPERLINK("https://www.leilaoonline.net/lote/detalhe/171362", "316")</f>
      </c>
      <c r="B327" s="4" t="s">
        <f>=HYPERLINK("https://www.leilaoonline.net/lote/detalhe/171362", " Multimedidor para sistema trifásico com monofásico - IDM144 - Marca: ABB - Modelo IDM 144 - N00391242424321 - Emtrada: IN5A1UN 254/440V (60 hz / classe 0,5%) com RS485 UAUX: 85...265VAC/90...300VDC - 2 peças")</f>
      </c>
      <c r="C327" s="4" t="inlineStr">
        <is>
          <t>Não vendido</t>
        </is>
      </c>
      <c r="D327" s="4" t="inlineStr">
        <is>
          <t>0</t>
        </is>
      </c>
      <c r="E327" s="5" t="inlineStr">
        <is>
          <t>1.000,00</t>
        </is>
      </c>
      <c r="F327" s="4" t="inlineStr">
        <is>
          <t>150.00</t>
        </is>
      </c>
    </row>
    <row collapsed="false" customFormat="false" customHeight="false" hidden="false" ht="12.1" outlineLevel="0" r="328">
      <c r="A328" s="5" t="s">
        <f>=HYPERLINK("https://www.leilaoonline.net/lote/detalhe/171367", "317")</f>
      </c>
      <c r="B328" s="4" t="s">
        <f>=HYPERLINK("https://www.leilaoonline.net/lote/detalhe/171367", " Disjuntor caixa moldada 3P - Marca Moeller - Modelo ZMV-600-NZM-10-NA 630A com unidade de controle remoto KLock 6A - Moeller - R-NZM10 - 110 - 120V - 220VA - AWG-18-14 - 2 peças")</f>
      </c>
      <c r="C328" s="4" t="inlineStr">
        <is>
          <t>Não vendido</t>
        </is>
      </c>
      <c r="D328" s="4" t="inlineStr">
        <is>
          <t>0</t>
        </is>
      </c>
      <c r="E328" s="5" t="inlineStr">
        <is>
          <t>5.000,00</t>
        </is>
      </c>
      <c r="F328" s="4" t="inlineStr">
        <is>
          <t>250.00</t>
        </is>
      </c>
    </row>
    <row collapsed="false" customFormat="false" customHeight="false" hidden="false" ht="12.1" outlineLevel="0" r="329">
      <c r="A329" s="5" t="s">
        <f>=HYPERLINK("https://www.leilaoonline.net/lote/detalhe/171369", "318")</f>
      </c>
      <c r="B329" s="4" t="s">
        <f>=HYPERLINK("https://www.leilaoonline.net/lote/detalhe/171369", " Disjuntor caixa moldada 3P - Diversos modelos da Marca: ABB - (2 peças 800) - (1 peça 400A) - (1 peça 250A) - Total de amperes: 2250A - total de peças 4")</f>
      </c>
      <c r="C329" s="4" t="inlineStr">
        <is>
          <t>Não vendido</t>
        </is>
      </c>
      <c r="D329" s="4" t="inlineStr">
        <is>
          <t>0</t>
        </is>
      </c>
      <c r="E329" s="5" t="inlineStr">
        <is>
          <t>4.000,00</t>
        </is>
      </c>
      <c r="F329" s="4" t="inlineStr">
        <is>
          <t>250.00</t>
        </is>
      </c>
    </row>
    <row collapsed="false" customFormat="false" customHeight="false" hidden="false" ht="12.1" outlineLevel="0" r="330">
      <c r="A330" s="5" t="s">
        <f>=HYPERLINK("https://www.leilaoonline.net/lote/detalhe/171366", "319")</f>
      </c>
      <c r="B330" s="4" t="s">
        <f>=HYPERLINK("https://www.leilaoonline.net/lote/detalhe/171366", " Chaves seccionadora com base fusível - Marca ABB - Modelo XLP000 com fusível e diversos amperes - 17 Peças")</f>
      </c>
      <c r="C330" s="4" t="inlineStr">
        <is>
          <t>Não vendido</t>
        </is>
      </c>
      <c r="D330" s="4" t="inlineStr">
        <is>
          <t>0</t>
        </is>
      </c>
      <c r="E330" s="5" t="inlineStr">
        <is>
          <t>2.000,00</t>
        </is>
      </c>
      <c r="F330" s="4" t="inlineStr">
        <is>
          <t>150.00</t>
        </is>
      </c>
    </row>
    <row collapsed="false" customFormat="false" customHeight="false" hidden="false" ht="12.1" outlineLevel="0" r="331">
      <c r="A331" s="5" t="s">
        <f>=HYPERLINK("https://www.leilaoonline.net/lote/detalhe/171368", "320")</f>
      </c>
      <c r="B331" s="4" t="s">
        <f>=HYPERLINK("https://www.leilaoonline.net/lote/detalhe/171368", " Chaves seccionadores sobrecarga 3P 4p marca Siemens e Holec. Modelos: (SS32-160/4 - 160A - 4P - 1 peça) - (SS32-250/3 - 250A - 3P - 5 peça) - (SS32-400/3 - 400A - 3P - 1 peça) - Total de peças: 7")</f>
      </c>
      <c r="C331" s="4" t="inlineStr">
        <is>
          <t>Não vendido</t>
        </is>
      </c>
      <c r="D331" s="4" t="inlineStr">
        <is>
          <t>0</t>
        </is>
      </c>
      <c r="E331" s="5" t="inlineStr">
        <is>
          <t>2.000,00</t>
        </is>
      </c>
      <c r="F331" s="4" t="inlineStr">
        <is>
          <t>150.00</t>
        </is>
      </c>
    </row>
    <row collapsed="false" customFormat="false" customHeight="false" hidden="false" ht="12.1" outlineLevel="0" r="332">
      <c r="A332" s="5" t="s">
        <f>=HYPERLINK("https://www.leilaoonline.net/lote/detalhe/171370", "321")</f>
      </c>
      <c r="B332" s="4" t="s">
        <f>=HYPERLINK("https://www.leilaoonline.net/lote/detalhe/171370", " Tomadas industriais macho e fêmea - Diversas tamanhos, amperagens, marcas, modelos e voltagem")</f>
      </c>
      <c r="C332" s="4" t="inlineStr">
        <is>
          <t>Não vendido</t>
        </is>
      </c>
      <c r="D332" s="4" t="inlineStr">
        <is>
          <t>0</t>
        </is>
      </c>
      <c r="E332" s="5" t="inlineStr">
        <is>
          <t>2.000,00</t>
        </is>
      </c>
      <c r="F332" s="4" t="inlineStr">
        <is>
          <t>150.00</t>
        </is>
      </c>
    </row>
    <row collapsed="false" customFormat="false" customHeight="false" hidden="false" ht="12.1" outlineLevel="0" r="333">
      <c r="A333" s="5" t="s">
        <f>=HYPERLINK("https://www.leilaoonline.net/lote/detalhe/171372", "322")</f>
      </c>
      <c r="B333" s="4" t="s">
        <f>=HYPERLINK("https://www.leilaoonline.net/lote/detalhe/171372", " Multimedidor para sistema trifásico com monofásico - IDM144 - Marca: ABB - Modelo IDM 144 - N00391242424321 - Emtrada: IN5A1UN 254/440V (60 hz / classe 0,5%) com RS485 UAUX: 85...265VAC/90...300VDC - 2 peças")</f>
      </c>
      <c r="C333" s="4" t="inlineStr">
        <is>
          <t>Não vendido</t>
        </is>
      </c>
      <c r="D333" s="4" t="inlineStr">
        <is>
          <t>0</t>
        </is>
      </c>
      <c r="E333" s="5" t="inlineStr">
        <is>
          <t>500,00</t>
        </is>
      </c>
      <c r="F333" s="4" t="inlineStr">
        <is>
          <t>150.00</t>
        </is>
      </c>
    </row>
    <row collapsed="false" customFormat="false" customHeight="false" hidden="false" ht="12.1" outlineLevel="0" r="334">
      <c r="A334" s="5" t="s">
        <f>=HYPERLINK("https://www.leilaoonline.net/lote/detalhe/171374", "323")</f>
      </c>
      <c r="B334" s="4" t="s">
        <f>=HYPERLINK("https://www.leilaoonline.net/lote/detalhe/171374", " Disjuntor motorizado 3P - Marca ABB - Modelo Tmax T5N 400 400A - 2 peças com intertravamento")</f>
      </c>
      <c r="C334" s="4" t="inlineStr">
        <is>
          <t>Não vendido</t>
        </is>
      </c>
      <c r="D334" s="4" t="inlineStr">
        <is>
          <t>0</t>
        </is>
      </c>
      <c r="E334" s="5" t="inlineStr">
        <is>
          <t>4.000,00</t>
        </is>
      </c>
      <c r="F334" s="4" t="inlineStr">
        <is>
          <t>250.00</t>
        </is>
      </c>
    </row>
    <row collapsed="false" customFormat="false" customHeight="false" hidden="false" ht="12.1" outlineLevel="0" r="335">
      <c r="A335" s="5" t="s">
        <f>=HYPERLINK("https://www.leilaoonline.net/lote/detalhe/171371", "324")</f>
      </c>
      <c r="B335" s="4" t="s">
        <f>=HYPERLINK("https://www.leilaoonline.net/lote/detalhe/171371", " Sinocode-prov-profibus DP - Marca Siemens - Modelo 3UF70001AU00-0 com módulo med corrente 10-100A 690V 55 NN - Sinocode - Modelo 3UF71021AA000 Siemens e com 3UF100-1AA00-0 - 18 peças de módulos e 14 peças de profibus DP - Total de peças 32")</f>
      </c>
      <c r="C335" s="4" t="inlineStr">
        <is>
          <t>Não vendido</t>
        </is>
      </c>
      <c r="D335" s="4" t="inlineStr">
        <is>
          <t>0</t>
        </is>
      </c>
      <c r="E335" s="5" t="inlineStr">
        <is>
          <t>10.000,00</t>
        </is>
      </c>
      <c r="F335" s="4" t="inlineStr">
        <is>
          <t>250.00</t>
        </is>
      </c>
    </row>
    <row collapsed="false" customFormat="false" customHeight="false" hidden="false" ht="12.1" outlineLevel="0" r="336">
      <c r="A336" s="5" t="s">
        <f>=HYPERLINK("https://www.leilaoonline.net/lote/detalhe/171375", "325")</f>
      </c>
      <c r="B336" s="4" t="s">
        <f>=HYPERLINK("https://www.leilaoonline.net/lote/detalhe/171375", " Rele sincode módulo de operação - porta painel - marca Siemens modelo 3UF7200-1AA00-0 - 59 peças")</f>
      </c>
      <c r="C336" s="4" t="inlineStr">
        <is>
          <t>Não vendido</t>
        </is>
      </c>
      <c r="D336" s="4" t="inlineStr">
        <is>
          <t>0</t>
        </is>
      </c>
      <c r="E336" s="5" t="inlineStr">
        <is>
          <t>15.000,00</t>
        </is>
      </c>
      <c r="F336" s="4" t="inlineStr">
        <is>
          <t>250.00</t>
        </is>
      </c>
    </row>
    <row collapsed="false" customFormat="false" customHeight="false" hidden="false" ht="12.1" outlineLevel="0" r="337">
      <c r="A337" s="5" t="s">
        <f>=HYPERLINK("https://www.leilaoonline.net/lote/detalhe/171373", "326")</f>
      </c>
      <c r="B337" s="4" t="s">
        <f>=HYPERLINK("https://www.leilaoonline.net/lote/detalhe/171373", " Diversos tipos de fonte - fonte de alimentação, fonte de alimentação CA/CC com montagem em TR, fonte de alimentação Proeco, fonte de alimentação Eco-Rail, chave ethernet gerenciada, fonte chaveada proauto, fonte chaveada MCE switch mode power supply, scalance X005")</f>
      </c>
      <c r="C337" s="4" t="inlineStr">
        <is>
          <t>Não vendido</t>
        </is>
      </c>
      <c r="D337" s="4" t="inlineStr">
        <is>
          <t>0</t>
        </is>
      </c>
      <c r="E337" s="5" t="inlineStr">
        <is>
          <t>4.000,00</t>
        </is>
      </c>
      <c r="F337" s="4" t="inlineStr">
        <is>
          <t>250.00</t>
        </is>
      </c>
    </row>
    <row collapsed="false" customFormat="false" customHeight="false" hidden="false" ht="12.1" outlineLevel="0" r="338">
      <c r="A338" s="5" t="s">
        <f>=HYPERLINK("https://www.leilaoonline.net/lote/detalhe/171378", "327")</f>
      </c>
      <c r="B338" s="4" t="s">
        <f>=HYPERLINK("https://www.leilaoonline.net/lote/detalhe/171378", " Multimedidor Siemens - Sentron PAC - Marca Siemens - Modelo Sentron - PAC 3200 - Cod: 7KN2112-0BA00-3AA0 com módulo de expansão comutado ethenet profinet V3, plug-in com sinatic DP conector de bus para profibus - 5 peças")</f>
      </c>
      <c r="C338" s="4" t="inlineStr">
        <is>
          <t>Não vendido</t>
        </is>
      </c>
      <c r="D338" s="4" t="inlineStr">
        <is>
          <t>0</t>
        </is>
      </c>
      <c r="E338" s="5" t="inlineStr">
        <is>
          <t>7.500,00</t>
        </is>
      </c>
      <c r="F338" s="4" t="inlineStr">
        <is>
          <t>250.00</t>
        </is>
      </c>
    </row>
    <row collapsed="false" customFormat="false" customHeight="false" hidden="false" ht="12.1" outlineLevel="0" r="339">
      <c r="A339" s="5" t="s">
        <f>=HYPERLINK("https://www.leilaoonline.net/lote/detalhe/171379", "328")</f>
      </c>
      <c r="B339" s="4" t="s">
        <f>=HYPERLINK("https://www.leilaoonline.net/lote/detalhe/171379", " Multimedidor Siemens - Sentron PAC - Marca Siemens - Modelo Sentron - PAC 3200 - Cod: 7KN2112-0BA00-3AA0 com módulo de expansão comutado ethnet profinet V3, plug-in com sinatic DP conector de bus para profibus - 5 peças")</f>
      </c>
      <c r="C339" s="4" t="inlineStr">
        <is>
          <t>Não vendido</t>
        </is>
      </c>
      <c r="D339" s="4" t="inlineStr">
        <is>
          <t>0</t>
        </is>
      </c>
      <c r="E339" s="5" t="inlineStr">
        <is>
          <t>7.500,00</t>
        </is>
      </c>
      <c r="F339" s="4" t="inlineStr">
        <is>
          <t>250.00</t>
        </is>
      </c>
    </row>
    <row collapsed="false" customFormat="false" customHeight="false" hidden="false" ht="12.1" outlineLevel="0" r="340">
      <c r="A340" s="5" t="s">
        <f>=HYPERLINK("https://www.leilaoonline.net/lote/detalhe/171376", "329")</f>
      </c>
      <c r="B340" s="4" t="s">
        <f>=HYPERLINK("https://www.leilaoonline.net/lote/detalhe/171376", " Multimedidor Siemens - Sentron PAC - Marca Siemens - Modelo Sentron - PAC 3200 - Cod: 7KN2112-0BA00-3AA0 com módulo de expansão comutado ethnet profinet V3, plug-in com sinatic DP conector de bus para profibus - 5 peças")</f>
      </c>
      <c r="C340" s="4" t="inlineStr">
        <is>
          <t>Não vendido</t>
        </is>
      </c>
      <c r="D340" s="4" t="inlineStr">
        <is>
          <t>0</t>
        </is>
      </c>
      <c r="E340" s="5" t="inlineStr">
        <is>
          <t>7.500,00</t>
        </is>
      </c>
      <c r="F340" s="4" t="inlineStr">
        <is>
          <t>250.00</t>
        </is>
      </c>
    </row>
    <row collapsed="false" customFormat="false" customHeight="false" hidden="false" ht="12.1" outlineLevel="0" r="341">
      <c r="A341" s="5" t="s">
        <f>=HYPERLINK("https://www.leilaoonline.net/lote/detalhe/171377", "330")</f>
      </c>
      <c r="B341" s="4" t="s">
        <f>=HYPERLINK("https://www.leilaoonline.net/lote/detalhe/171377", " Multimedidor Siemens - Sentron PAC - Marca Siemens - Modelo Sentron - PAC 3200 - Cod: 7KN2112-0BA00-3AA0 com módulo de expansão comutado ethnet profinet V3, plug-in com sinatic DP conector de bus para profibus - 2 peças")</f>
      </c>
      <c r="C341" s="4" t="inlineStr">
        <is>
          <t>Não vendido</t>
        </is>
      </c>
      <c r="D341" s="4" t="inlineStr">
        <is>
          <t>0</t>
        </is>
      </c>
      <c r="E341" s="5" t="inlineStr">
        <is>
          <t>3.000,00</t>
        </is>
      </c>
      <c r="F341" s="4" t="inlineStr">
        <is>
          <t>250.00</t>
        </is>
      </c>
    </row>
    <row collapsed="false" customFormat="false" customHeight="false" hidden="false" ht="12.1" outlineLevel="0" r="342">
      <c r="A342" s="5" t="s">
        <f>=HYPERLINK("https://www.leilaoonline.net/lote/detalhe/171380", "331")</f>
      </c>
      <c r="B342" s="4" t="s">
        <f>=HYPERLINK("https://www.leilaoonline.net/lote/detalhe/171380", " Switch eternet - marca Moxa - Modelo: EDS-208A-NN-SC - 7 peças")</f>
      </c>
      <c r="C342" s="4" t="inlineStr">
        <is>
          <t>Não vendido</t>
        </is>
      </c>
      <c r="D342" s="4" t="inlineStr">
        <is>
          <t>0</t>
        </is>
      </c>
      <c r="E342" s="5" t="inlineStr">
        <is>
          <t>3.000,00</t>
        </is>
      </c>
      <c r="F342" s="4" t="inlineStr">
        <is>
          <t>250.00</t>
        </is>
      </c>
    </row>
    <row collapsed="false" customFormat="false" customHeight="false" hidden="false" ht="12.1" outlineLevel="0" r="343">
      <c r="A343" s="5" t="s">
        <f>=HYPERLINK("https://www.leilaoonline.net/lote/detalhe/171381", "332")</f>
      </c>
      <c r="B343" s="4" t="s">
        <f>=HYPERLINK("https://www.leilaoonline.net/lote/detalhe/171381", " Danfoss Adaptação Módulo de Extensão - KOOLl-AK-XN 205B - n⁰ 08020017 - 5 peças")</f>
      </c>
      <c r="C343" s="4" t="inlineStr">
        <is>
          <t>Não vendido</t>
        </is>
      </c>
      <c r="D343" s="4" t="inlineStr">
        <is>
          <t>0</t>
        </is>
      </c>
      <c r="E343" s="5" t="inlineStr">
        <is>
          <t>1.000,00</t>
        </is>
      </c>
      <c r="F343" s="4" t="inlineStr">
        <is>
          <t>150.00</t>
        </is>
      </c>
    </row>
    <row collapsed="false" customFormat="false" customHeight="false" hidden="false" ht="12.1" outlineLevel="0" r="344">
      <c r="A344" s="5" t="s">
        <f>=HYPERLINK("https://www.leilaoonline.net/lote/detalhe/171384", "333")</f>
      </c>
      <c r="B344" s="4" t="s">
        <f>=HYPERLINK("https://www.leilaoonline.net/lote/detalhe/171384", " CLP LOGO Siemens - Diversos modelos - Total de peças 12")</f>
      </c>
      <c r="C344" s="4" t="inlineStr">
        <is>
          <t>Vendido</t>
        </is>
      </c>
      <c r="D344" s="4" t="inlineStr">
        <is>
          <t>1</t>
        </is>
      </c>
      <c r="E344" s="5" t="inlineStr">
        <is>
          <t>3.000,00</t>
        </is>
      </c>
      <c r="F344" s="4" t="inlineStr">
        <is>
          <t>250.00</t>
        </is>
      </c>
    </row>
    <row collapsed="false" customFormat="false" customHeight="false" hidden="false" ht="12.1" outlineLevel="0" r="345">
      <c r="A345" s="5" t="s">
        <f>=HYPERLINK("https://www.leilaoonline.net/lote/detalhe/171385", "334")</f>
      </c>
      <c r="B345" s="4" t="s">
        <f>=HYPERLINK("https://www.leilaoonline.net/lote/detalhe/171385", " (Controlador programador WEG clico 2 - 2 peças), (Controlador lógico programável CLP - WEG - 1 peça), (Módulo CLP de expansão Weg - 1 peça) - Total de 4 Peças")</f>
      </c>
      <c r="C345" s="4" t="inlineStr">
        <is>
          <t>Não vendido</t>
        </is>
      </c>
      <c r="D345" s="4" t="inlineStr">
        <is>
          <t>0</t>
        </is>
      </c>
      <c r="E345" s="5" t="inlineStr">
        <is>
          <t>3.000,00</t>
        </is>
      </c>
      <c r="F345" s="4" t="inlineStr">
        <is>
          <t>250.00</t>
        </is>
      </c>
    </row>
    <row collapsed="false" customFormat="false" customHeight="false" hidden="false" ht="12.1" outlineLevel="0" r="346">
      <c r="A346" s="5" t="s">
        <f>=HYPERLINK("https://www.leilaoonline.net/lote/detalhe/171382", "335")</f>
      </c>
      <c r="B346" s="4" t="s">
        <f>=HYPERLINK("https://www.leilaoonline.net/lote/detalhe/171382", " (Dispositivo de proteção contra surtos DPS compacto - SIEMENS - 3 peças), (Dispositivo de proteção contra surtos DPS compacto - SIEMENS - 2 peças), (Módulo de diagnóstico de temperatura - MERLIN GERIN - 1 peça) - Total de peças")</f>
      </c>
      <c r="C346" s="4" t="inlineStr">
        <is>
          <t>Não vendido</t>
        </is>
      </c>
      <c r="D346" s="4" t="inlineStr">
        <is>
          <t>0</t>
        </is>
      </c>
      <c r="E346" s="5" t="inlineStr">
        <is>
          <t>3.000,00</t>
        </is>
      </c>
      <c r="F346" s="4" t="inlineStr">
        <is>
          <t>250.00</t>
        </is>
      </c>
    </row>
    <row collapsed="false" customFormat="false" customHeight="false" hidden="false" ht="12.1" outlineLevel="0" r="347">
      <c r="A347" s="5" t="s">
        <f>=HYPERLINK("https://www.leilaoonline.net/lote/detalhe/171386", "336")</f>
      </c>
      <c r="B347" s="4" t="s">
        <f>=HYPERLINK("https://www.leilaoonline.net/lote/detalhe/171386", " Schneider conversor RS 485/Ethernet com memória EGX300 - Power Logic - EGX 300 - 2 peças")</f>
      </c>
      <c r="C347" s="4" t="inlineStr">
        <is>
          <t>Não vendido</t>
        </is>
      </c>
      <c r="D347" s="4" t="inlineStr">
        <is>
          <t>0</t>
        </is>
      </c>
      <c r="E347" s="5" t="inlineStr">
        <is>
          <t>5.000,00</t>
        </is>
      </c>
      <c r="F347" s="4" t="inlineStr">
        <is>
          <t>250.00</t>
        </is>
      </c>
    </row>
    <row collapsed="false" customFormat="false" customHeight="false" hidden="false" ht="12.1" outlineLevel="0" r="348">
      <c r="A348" s="5" t="s">
        <f>=HYPERLINK("https://www.leilaoonline.net/lote/detalhe/171383", "337")</f>
      </c>
      <c r="B348" s="4" t="s">
        <f>=HYPERLINK("https://www.leilaoonline.net/lote/detalhe/171383", " (CLP Micrologix 1200 - ALLEN BRADLEY - 24V - 3 peça), (Módulo de expansão saída micrologix - ALLEN BRADLEY - 24VDC - 2 peça) - Total de peças 5")</f>
      </c>
      <c r="C348" s="4" t="inlineStr">
        <is>
          <t>Não vendido</t>
        </is>
      </c>
      <c r="D348" s="4" t="inlineStr">
        <is>
          <t>0</t>
        </is>
      </c>
      <c r="E348" s="5" t="inlineStr">
        <is>
          <t>3.000,00</t>
        </is>
      </c>
      <c r="F348" s="4" t="inlineStr">
        <is>
          <t>250.00</t>
        </is>
      </c>
    </row>
    <row collapsed="false" customFormat="false" customHeight="false" hidden="false" ht="12.1" outlineLevel="0" r="349">
      <c r="A349" s="5" t="s">
        <f>=HYPERLINK("https://www.leilaoonline.net/lote/detalhe/171387", "338")</f>
      </c>
      <c r="B349" s="4" t="s">
        <f>=HYPERLINK("https://www.leilaoonline.net/lote/detalhe/171387", " Chave transferência automática dispositivo AT5022 com diálogo avançado de controlador de multi tensão - 1 peça")</f>
      </c>
      <c r="C349" s="4" t="inlineStr">
        <is>
          <t>Não vendido</t>
        </is>
      </c>
      <c r="D349" s="4" t="inlineStr">
        <is>
          <t>0</t>
        </is>
      </c>
      <c r="E349" s="5" t="inlineStr">
        <is>
          <t>2.000,00</t>
        </is>
      </c>
      <c r="F349" s="4" t="inlineStr">
        <is>
          <t>150.00</t>
        </is>
      </c>
    </row>
    <row collapsed="false" customFormat="false" customHeight="false" hidden="false" ht="12.1" outlineLevel="0" r="350">
      <c r="A350" s="5" t="s">
        <f>=HYPERLINK("https://www.leilaoonline.net/lote/detalhe/171388", "339")</f>
      </c>
      <c r="B350" s="4" t="s">
        <f>=HYPERLINK("https://www.leilaoonline.net/lote/detalhe/171388", " (Controlador programável - CAREL - 1 peça), (Controlador Carel PGD user interface - CAREL - 1 peça), (CLP CAREL PCOXS DIN Built-in Terminal - 1 peça), (Controlador de superaquecimento EVD Evolution - CAREL - 1 peça), (Módulo de 16 entradas digitais interburs IB STME - 1 peça) - Total de peças 5")</f>
      </c>
      <c r="C350" s="4" t="inlineStr">
        <is>
          <t>Não vendido</t>
        </is>
      </c>
      <c r="D350" s="4" t="inlineStr">
        <is>
          <t>0</t>
        </is>
      </c>
      <c r="E350" s="5" t="inlineStr">
        <is>
          <t>3.500,00</t>
        </is>
      </c>
      <c r="F350" s="4" t="inlineStr">
        <is>
          <t>250.00</t>
        </is>
      </c>
    </row>
    <row collapsed="false" customFormat="false" customHeight="false" hidden="false" ht="12.1" outlineLevel="0" r="351">
      <c r="A351" s="5" t="s">
        <f>=HYPERLINK("https://www.leilaoonline.net/lote/detalhe/171392", "340")</f>
      </c>
      <c r="B351" s="4" t="s">
        <f>=HYPERLINK("https://www.leilaoonline.net/lote/detalhe/171392", " Diversas fontes de alimentação - Marcas: Phoenix Contact e Proauto - Total de peças 7")</f>
      </c>
      <c r="C351" s="4" t="inlineStr">
        <is>
          <t>Não vendido</t>
        </is>
      </c>
      <c r="D351" s="4" t="inlineStr">
        <is>
          <t>0</t>
        </is>
      </c>
      <c r="E351" s="5" t="inlineStr">
        <is>
          <t>2.500,00</t>
        </is>
      </c>
      <c r="F351" s="4" t="inlineStr">
        <is>
          <t>150.00</t>
        </is>
      </c>
    </row>
    <row collapsed="false" customFormat="false" customHeight="false" hidden="false" ht="12.1" outlineLevel="0" r="352">
      <c r="A352" s="5" t="s">
        <f>=HYPERLINK("https://www.leilaoonline.net/lote/detalhe/171391", "341")</f>
      </c>
      <c r="B352" s="4" t="s">
        <f>=HYPERLINK("https://www.leilaoonline.net/lote/detalhe/171391", " Relé de segurança - Marca: PILZ - Modelo: PNOZ-N1P-773100 - 1 peça")</f>
      </c>
      <c r="C352" s="4" t="inlineStr">
        <is>
          <t>Não vendido</t>
        </is>
      </c>
      <c r="D352" s="4" t="inlineStr">
        <is>
          <t>0</t>
        </is>
      </c>
      <c r="E352" s="5" t="inlineStr">
        <is>
          <t>1.500,00</t>
        </is>
      </c>
      <c r="F352" s="4" t="inlineStr">
        <is>
          <t>150.00</t>
        </is>
      </c>
    </row>
    <row collapsed="false" customFormat="false" customHeight="false" hidden="false" ht="12.1" outlineLevel="0" r="353">
      <c r="A353" s="5" t="s">
        <f>=HYPERLINK("https://www.leilaoonline.net/lote/detalhe/171389", "342")</f>
      </c>
      <c r="B353" s="4" t="s">
        <f>=HYPERLINK("https://www.leilaoonline.net/lote/detalhe/171389", " Resistor de aquecimento para painel elétrico - 150W - 220V - 40 peças")</f>
      </c>
      <c r="C353" s="4" t="inlineStr">
        <is>
          <t>Não vendido</t>
        </is>
      </c>
      <c r="D353" s="4" t="inlineStr">
        <is>
          <t>0</t>
        </is>
      </c>
      <c r="E353" s="5" t="inlineStr">
        <is>
          <t>500,00</t>
        </is>
      </c>
      <c r="F353" s="4" t="inlineStr">
        <is>
          <t>150.00</t>
        </is>
      </c>
    </row>
    <row collapsed="false" customFormat="false" customHeight="false" hidden="false" ht="12.1" outlineLevel="0" r="354">
      <c r="A354" s="5" t="s">
        <f>=HYPERLINK("https://www.leilaoonline.net/lote/detalhe/171390", "343")</f>
      </c>
      <c r="B354" s="4" t="s">
        <f>=HYPERLINK("https://www.leilaoonline.net/lote/detalhe/171390", " Diversos materiais elétricos MET50")</f>
      </c>
      <c r="C354" s="4" t="inlineStr">
        <is>
          <t>Não vendido</t>
        </is>
      </c>
      <c r="D354" s="4" t="inlineStr">
        <is>
          <t>0</t>
        </is>
      </c>
      <c r="E354" s="5" t="inlineStr">
        <is>
          <t>2.500,00</t>
        </is>
      </c>
      <c r="F354" s="4" t="inlineStr">
        <is>
          <t>150.00</t>
        </is>
      </c>
    </row>
    <row collapsed="false" customFormat="false" customHeight="false" hidden="false" ht="12.1" outlineLevel="0" r="355">
      <c r="A355" s="5" t="s">
        <f>=HYPERLINK("https://www.leilaoonline.net/lote/detalhe/171394", "344")</f>
      </c>
      <c r="B355" s="4" t="s">
        <f>=HYPERLINK("https://www.leilaoonline.net/lote/detalhe/171394", " (Bornes Porta Fusíveis - Marca Phoenix Contact - 206 peças) e (Borne Blocos de Terminais e calha - 124 peças) - Total de peças 330")</f>
      </c>
      <c r="C355" s="4" t="inlineStr">
        <is>
          <t>Não vendido</t>
        </is>
      </c>
      <c r="D355" s="4" t="inlineStr">
        <is>
          <t>0</t>
        </is>
      </c>
      <c r="E355" s="5" t="inlineStr">
        <is>
          <t>500,00</t>
        </is>
      </c>
      <c r="F355" s="4" t="inlineStr">
        <is>
          <t>150.00</t>
        </is>
      </c>
    </row>
    <row collapsed="false" customFormat="false" customHeight="false" hidden="false" ht="12.1" outlineLevel="0" r="356">
      <c r="A356" s="5" t="s">
        <f>=HYPERLINK("https://www.leilaoonline.net/lote/detalhe/171395", "345")</f>
      </c>
      <c r="B356" s="4" t="s">
        <f>=HYPERLINK("https://www.leilaoonline.net/lote/detalhe/171395", " (Controlador Automático de Capacidade IMS - 1 peça) - (Smart Meter IMS - 1 peça) - (Medidores de Energia do Painel para Alimentadores ou espaço inquilino - Schneider- 4 peças), (Medidor de Energia Elétrica - Power Measurement - 1 peça), (Controlador Microprocessador - Therma - 3 peça), (Medidor Dig")</f>
      </c>
      <c r="C356" s="4" t="inlineStr">
        <is>
          <t>Não vendido</t>
        </is>
      </c>
      <c r="D356" s="4" t="inlineStr">
        <is>
          <t>0</t>
        </is>
      </c>
      <c r="E356" s="5" t="inlineStr">
        <is>
          <t>5.000,00</t>
        </is>
      </c>
      <c r="F356" s="4" t="inlineStr">
        <is>
          <t>250.00</t>
        </is>
      </c>
    </row>
    <row collapsed="false" customFormat="false" customHeight="false" hidden="false" ht="12.1" outlineLevel="0" r="357">
      <c r="A357" s="5" t="s">
        <f>=HYPERLINK("https://www.leilaoonline.net/lote/detalhe/171393", "346")</f>
      </c>
      <c r="B357" s="4" t="s">
        <f>=HYPERLINK("https://www.leilaoonline.net/lote/detalhe/171393", " CLP - Marca ALTUS - Modelo FBS 24MJ2-D24 com 8 módulo de expansão - Altus com IHM X2 Base 7 Bejer - Serial n19978-00942-24V - 1 CLT 8 módulo - 1 IHM - 10 peças")</f>
      </c>
      <c r="C357" s="4" t="inlineStr">
        <is>
          <t>Não vendido</t>
        </is>
      </c>
      <c r="D357" s="4" t="inlineStr">
        <is>
          <t>0</t>
        </is>
      </c>
      <c r="E357" s="5" t="inlineStr">
        <is>
          <t>2.500,00</t>
        </is>
      </c>
      <c r="F357" s="4" t="inlineStr">
        <is>
          <t>150.00</t>
        </is>
      </c>
    </row>
    <row collapsed="false" customFormat="false" customHeight="false" hidden="false" ht="12.1" outlineLevel="0" r="358">
      <c r="A358" s="5" t="s">
        <f>=HYPERLINK("https://www.leilaoonline.net/lote/detalhe/171397", "347")</f>
      </c>
      <c r="B358" s="4" t="s">
        <f>=HYPERLINK("https://www.leilaoonline.net/lote/detalhe/171397", " Modulo de relé de proteção - Telemecanique - módulo: LT6 - P0MM005FM - 1 peça")</f>
      </c>
      <c r="C358" s="4" t="inlineStr">
        <is>
          <t>Não vendido</t>
        </is>
      </c>
      <c r="D358" s="4" t="inlineStr">
        <is>
          <t>0</t>
        </is>
      </c>
      <c r="E358" s="5" t="inlineStr">
        <is>
          <t>1.000,00</t>
        </is>
      </c>
      <c r="F358" s="4" t="inlineStr">
        <is>
          <t>150.00</t>
        </is>
      </c>
    </row>
    <row collapsed="false" customFormat="false" customHeight="false" hidden="false" ht="12.1" outlineLevel="0" r="359">
      <c r="A359" s="5" t="s">
        <f>=HYPERLINK("https://www.leilaoonline.net/lote/detalhe/171396", "348")</f>
      </c>
      <c r="B359" s="4" t="s">
        <f>=HYPERLINK("https://www.leilaoonline.net/lote/detalhe/171396", " Fonte de transmissor - Marca Pepperl   Fuchs - Modelo KFU8-CRG2-EX1D - 1 peça")</f>
      </c>
      <c r="C359" s="4" t="inlineStr">
        <is>
          <t>Não vendido</t>
        </is>
      </c>
      <c r="D359" s="4" t="inlineStr">
        <is>
          <t>0</t>
        </is>
      </c>
      <c r="E359" s="5" t="inlineStr">
        <is>
          <t>500,00</t>
        </is>
      </c>
      <c r="F359" s="4" t="inlineStr">
        <is>
          <t>150.00</t>
        </is>
      </c>
    </row>
    <row collapsed="false" customFormat="false" customHeight="false" hidden="false" ht="12.1" outlineLevel="0" r="360">
      <c r="A360" s="5" t="s">
        <f>=HYPERLINK("https://www.leilaoonline.net/lote/detalhe/171398", "349")</f>
      </c>
      <c r="B360" s="4" t="s">
        <f>=HYPERLINK("https://www.leilaoonline.net/lote/detalhe/171398", " ERO Eletronic contator trifásico - Modelo: ETR060600000")</f>
      </c>
      <c r="C360" s="4" t="inlineStr">
        <is>
          <t>Não vendido</t>
        </is>
      </c>
      <c r="D360" s="4" t="inlineStr">
        <is>
          <t>0</t>
        </is>
      </c>
      <c r="E360" s="5" t="inlineStr">
        <is>
          <t>500,00</t>
        </is>
      </c>
      <c r="F360" s="4" t="inlineStr">
        <is>
          <t>150.00</t>
        </is>
      </c>
    </row>
    <row collapsed="false" customFormat="false" customHeight="false" hidden="false" ht="12.1" outlineLevel="0" r="361">
      <c r="A361" s="5" t="s">
        <f>=HYPERLINK("https://www.leilaoonline.net/lote/detalhe/171400", "350")</f>
      </c>
      <c r="B361" s="4" t="s">
        <f>=HYPERLINK("https://www.leilaoonline.net/lote/detalhe/171400", " Simatic Rack PC - 1 peça")</f>
      </c>
      <c r="C361" s="4" t="inlineStr">
        <is>
          <t>Não vendido</t>
        </is>
      </c>
      <c r="D361" s="4" t="inlineStr">
        <is>
          <t>0</t>
        </is>
      </c>
      <c r="E361" s="5" t="inlineStr">
        <is>
          <t>5.000,00</t>
        </is>
      </c>
      <c r="F361" s="4" t="inlineStr">
        <is>
          <t>250.00</t>
        </is>
      </c>
    </row>
    <row collapsed="false" customFormat="false" customHeight="false" hidden="false" ht="12.1" outlineLevel="0" r="362">
      <c r="A362" s="5" t="s">
        <f>=HYPERLINK("https://www.leilaoonline.net/lote/detalhe/171399", "351")</f>
      </c>
      <c r="B362" s="4" t="s">
        <f>=HYPERLINK("https://www.leilaoonline.net/lote/detalhe/171399", " Relé de proteção de fase GE multilin mifli digital feeder - marca GE - Modelo: MIFLLPA55 e 10h100 Power 110-250V = 10W e 110-230V - 10VA - 50/60hz - 2 peças")</f>
      </c>
      <c r="C362" s="4" t="inlineStr">
        <is>
          <t>Não vendido</t>
        </is>
      </c>
      <c r="D362" s="4" t="inlineStr">
        <is>
          <t>0</t>
        </is>
      </c>
      <c r="E362" s="5" t="inlineStr">
        <is>
          <t>3.000,00</t>
        </is>
      </c>
      <c r="F362" s="4" t="inlineStr">
        <is>
          <t>250.00</t>
        </is>
      </c>
    </row>
    <row collapsed="false" customFormat="false" customHeight="false" hidden="false" ht="12.1" outlineLevel="0" r="363">
      <c r="A363" s="5" t="s">
        <f>=HYPERLINK("https://www.leilaoonline.net/lote/detalhe/171402", "352")</f>
      </c>
      <c r="B363" s="4" t="s">
        <f>=HYPERLINK("https://www.leilaoonline.net/lote/detalhe/171402", " Relé de proteção de fase GE multilin mifli digital feeder - marca GE - Modelo: MIFLLPA55 e 10h100 Power 110-250V = 10W e 110-230V - 10VA - 50/60hz - 2 peças")</f>
      </c>
      <c r="C363" s="4" t="inlineStr">
        <is>
          <t>Não vendido</t>
        </is>
      </c>
      <c r="D363" s="4" t="inlineStr">
        <is>
          <t>0</t>
        </is>
      </c>
      <c r="E363" s="5" t="inlineStr">
        <is>
          <t>3.000,00</t>
        </is>
      </c>
      <c r="F363" s="4" t="inlineStr">
        <is>
          <t>250.00</t>
        </is>
      </c>
    </row>
    <row collapsed="false" customFormat="false" customHeight="false" hidden="false" ht="12.1" outlineLevel="0" r="364">
      <c r="A364" s="5" t="s">
        <f>=HYPERLINK("https://www.leilaoonline.net/lote/detalhe/171403", "353")</f>
      </c>
      <c r="B364" s="4" t="s">
        <f>=HYPERLINK("https://www.leilaoonline.net/lote/detalhe/171403", " Softstarter - Marca ABB - Modelo PST 105-600-70 - 110-250V - 60/50 Hz - LE: 38-1054 INLINE 30A 75MAX KW - 2 peças")</f>
      </c>
      <c r="C364" s="4" t="inlineStr">
        <is>
          <t>Não vendido</t>
        </is>
      </c>
      <c r="D364" s="4" t="inlineStr">
        <is>
          <t>0</t>
        </is>
      </c>
      <c r="E364" s="5" t="inlineStr">
        <is>
          <t>7.000,00</t>
        </is>
      </c>
      <c r="F364" s="4" t="inlineStr">
        <is>
          <t>250.00</t>
        </is>
      </c>
    </row>
    <row collapsed="false" customFormat="false" customHeight="false" hidden="false" ht="12.1" outlineLevel="0" r="365">
      <c r="A365" s="5" t="s">
        <f>=HYPERLINK("https://www.leilaoonline.net/lote/detalhe/171401", "354")</f>
      </c>
      <c r="B365" s="4" t="s">
        <f>=HYPERLINK("https://www.leilaoonline.net/lote/detalhe/171401", " Softstarted Sirius - Siemens - 3RW3046-1AB14 - 110-230V - 100A - LA53b - 3 peças")</f>
      </c>
      <c r="C365" s="4" t="inlineStr">
        <is>
          <t>Vendido</t>
        </is>
      </c>
      <c r="D365" s="4" t="inlineStr">
        <is>
          <t>1</t>
        </is>
      </c>
      <c r="E365" s="5" t="inlineStr">
        <is>
          <t>4.000,00</t>
        </is>
      </c>
      <c r="F365" s="4" t="inlineStr">
        <is>
          <t>200.00</t>
        </is>
      </c>
    </row>
    <row collapsed="false" customFormat="false" customHeight="false" hidden="false" ht="12.1" outlineLevel="0" r="366">
      <c r="A366" s="5" t="s">
        <f>=HYPERLINK("https://www.leilaoonline.net/lote/detalhe/171404", "355")</f>
      </c>
      <c r="B366" s="4" t="s">
        <f>=HYPERLINK("https://www.leilaoonline.net/lote/detalhe/171404", " Softstarted SSW07 - WEG - Modelo SSW070017 T5SZ - OP: 111731-5498 - Série: 1053-41-3797 - Rede Line 220-575V 3 a 17 amperes - 2 peças")</f>
      </c>
      <c r="C366" s="4" t="inlineStr">
        <is>
          <t>Não vendido</t>
        </is>
      </c>
      <c r="D366" s="4" t="inlineStr">
        <is>
          <t>0</t>
        </is>
      </c>
      <c r="E366" s="5" t="inlineStr">
        <is>
          <t>2.000,00</t>
        </is>
      </c>
      <c r="F366" s="4" t="inlineStr">
        <is>
          <t>200.00</t>
        </is>
      </c>
    </row>
    <row collapsed="false" customFormat="false" customHeight="false" hidden="false" ht="12.1" outlineLevel="0" r="367">
      <c r="A367" s="5" t="s">
        <f>=HYPERLINK("https://www.leilaoonline.net/lote/detalhe/171405", "356")</f>
      </c>
      <c r="B367" s="4" t="s">
        <f>=HYPERLINK("https://www.leilaoonline.net/lote/detalhe/171405", " Softstarted Altistart 48 - Schneider Electric - modelos: (1 peça AT548C4811Q), (2 peças AT548C14Y)")</f>
      </c>
      <c r="C367" s="4" t="inlineStr">
        <is>
          <t>Não vendido</t>
        </is>
      </c>
      <c r="D367" s="4" t="inlineStr">
        <is>
          <t>0</t>
        </is>
      </c>
      <c r="E367" s="5" t="inlineStr">
        <is>
          <t>8.000,00</t>
        </is>
      </c>
      <c r="F367" s="4" t="inlineStr">
        <is>
          <t>250.00</t>
        </is>
      </c>
    </row>
    <row collapsed="false" customFormat="false" customHeight="false" hidden="false" ht="12.1" outlineLevel="0" r="368">
      <c r="A368" s="5" t="s">
        <f>=HYPERLINK("https://www.leilaoonline.net/lote/detalhe/171408", "357")</f>
      </c>
      <c r="B368" s="4" t="s">
        <f>=HYPERLINK("https://www.leilaoonline.net/lote/detalhe/171408", " Softstarted Altistart 48 - Schneider Electric - modelo: AT548C4811Q - LCL: 110A - 230-415V - (MA) 500 - 2 peças")</f>
      </c>
      <c r="C368" s="4" t="inlineStr">
        <is>
          <t>Vendido</t>
        </is>
      </c>
      <c r="D368" s="4" t="inlineStr">
        <is>
          <t>1</t>
        </is>
      </c>
      <c r="E368" s="5" t="inlineStr">
        <is>
          <t>6.000,00</t>
        </is>
      </c>
      <c r="F368" s="4" t="inlineStr">
        <is>
          <t>200.00</t>
        </is>
      </c>
    </row>
    <row collapsed="false" customFormat="false" customHeight="false" hidden="false" ht="12.1" outlineLevel="0" r="369">
      <c r="A369" s="5" t="s">
        <f>=HYPERLINK("https://www.leilaoonline.net/lote/detalhe/171407", "358")</f>
      </c>
      <c r="B369" s="4" t="s">
        <f>=HYPERLINK("https://www.leilaoonline.net/lote/detalhe/171407", " Softstarted Altistart 48 - Schneider Electric - modelo: AT548C4811Q - ICI: 250A - 230-415V - (MA) 800 - 1 peças")</f>
      </c>
      <c r="C369" s="4" t="inlineStr">
        <is>
          <t>Não vendido</t>
        </is>
      </c>
      <c r="D369" s="4" t="inlineStr">
        <is>
          <t>0</t>
        </is>
      </c>
      <c r="E369" s="5" t="inlineStr">
        <is>
          <t>10.000,00</t>
        </is>
      </c>
      <c r="F369" s="4" t="inlineStr">
        <is>
          <t>250.00</t>
        </is>
      </c>
    </row>
    <row collapsed="false" customFormat="false" customHeight="false" hidden="false" ht="12.1" outlineLevel="0" r="370">
      <c r="A370" s="5" t="s">
        <f>=HYPERLINK("https://www.leilaoonline.net/lote/detalhe/171406", "359")</f>
      </c>
      <c r="B370" s="4" t="s">
        <f>=HYPERLINK("https://www.leilaoonline.net/lote/detalhe/171406", " (Klockner Moeller Soft Pact - Modelo: SoftPact MST1 400 9 - 1 peça), (Estabilizador Eletrônico com duplo filtro de linha - marca: BST conversor estático de energia - 1 peça) - Total de peças 2")</f>
      </c>
      <c r="C370" s="4" t="inlineStr">
        <is>
          <t>Não vendido</t>
        </is>
      </c>
      <c r="D370" s="4" t="inlineStr">
        <is>
          <t>0</t>
        </is>
      </c>
      <c r="E370" s="5" t="inlineStr">
        <is>
          <t>1.000,00</t>
        </is>
      </c>
      <c r="F370" s="4" t="inlineStr">
        <is>
          <t>150.00</t>
        </is>
      </c>
    </row>
    <row collapsed="false" customFormat="false" customHeight="false" hidden="false" ht="12.1" outlineLevel="0" r="371">
      <c r="A371" s="5" t="s">
        <f>=HYPERLINK("https://www.leilaoonline.net/lote/detalhe/171411", "360")</f>
      </c>
      <c r="B371" s="4" t="s">
        <f>=HYPERLINK("https://www.leilaoonline.net/lote/detalhe/171411", " Tristor CD 3000m - Marca: CD Automation - Modelo: CD300N - 2PH 1275A - 380V - 1 peça")</f>
      </c>
      <c r="C371" s="4" t="inlineStr">
        <is>
          <t>Não vendido</t>
        </is>
      </c>
      <c r="D371" s="4" t="inlineStr">
        <is>
          <t>0</t>
        </is>
      </c>
      <c r="E371" s="5" t="inlineStr">
        <is>
          <t>1.000,00</t>
        </is>
      </c>
      <c r="F371" s="4" t="inlineStr">
        <is>
          <t>150.00</t>
        </is>
      </c>
    </row>
    <row collapsed="false" customFormat="false" customHeight="false" hidden="false" ht="12.1" outlineLevel="0" r="372">
      <c r="A372" s="5" t="s">
        <f>=HYPERLINK("https://www.leilaoonline.net/lote/detalhe/171409", "361")</f>
      </c>
      <c r="B372" s="4" t="s">
        <f>=HYPERLINK("https://www.leilaoonline.net/lote/detalhe/171409", " Tristor CD 3000m - Marca: CD Automation - Modelo: CD300N - 1 peça")</f>
      </c>
      <c r="C372" s="4" t="inlineStr">
        <is>
          <t>Não vendido</t>
        </is>
      </c>
      <c r="D372" s="4" t="inlineStr">
        <is>
          <t>0</t>
        </is>
      </c>
      <c r="E372" s="5" t="inlineStr">
        <is>
          <t>1.000,00</t>
        </is>
      </c>
      <c r="F372" s="4" t="inlineStr">
        <is>
          <t>150.00</t>
        </is>
      </c>
    </row>
    <row collapsed="false" customFormat="false" customHeight="false" hidden="false" ht="12.1" outlineLevel="0" r="373">
      <c r="A373" s="5" t="s">
        <f>=HYPERLINK("https://www.leilaoonline.net/lote/detalhe/171410", "362")</f>
      </c>
      <c r="B373" s="4" t="s">
        <f>=HYPERLINK("https://www.leilaoonline.net/lote/detalhe/171410", " PowerTrans unidade de potência CA/CA conversor CA/CA - 1 peça")</f>
      </c>
      <c r="C373" s="4" t="inlineStr">
        <is>
          <t>Não vendido</t>
        </is>
      </c>
      <c r="D373" s="4" t="inlineStr">
        <is>
          <t>0</t>
        </is>
      </c>
      <c r="E373" s="5" t="inlineStr">
        <is>
          <t>1.000,00</t>
        </is>
      </c>
      <c r="F373" s="4" t="inlineStr">
        <is>
          <t>150.00</t>
        </is>
      </c>
    </row>
    <row collapsed="false" customFormat="false" customHeight="false" hidden="false" ht="12.1" outlineLevel="0" r="374">
      <c r="A374" s="5" t="s">
        <f>=HYPERLINK("https://www.leilaoonline.net/lote/detalhe/171414", "363")</f>
      </c>
      <c r="B374" s="4" t="s">
        <f>=HYPERLINK("https://www.leilaoonline.net/lote/detalhe/171414", " Inversor de frequência - Telemecanique altivar 31 - 7,5 kW - 10hp 200-240 - 2 peças")</f>
      </c>
      <c r="C374" s="4" t="inlineStr">
        <is>
          <t>Não vendido</t>
        </is>
      </c>
      <c r="D374" s="4" t="inlineStr">
        <is>
          <t>0</t>
        </is>
      </c>
      <c r="E374" s="5" t="inlineStr">
        <is>
          <t>5.000,00</t>
        </is>
      </c>
      <c r="F374" s="4" t="inlineStr">
        <is>
          <t>200.00</t>
        </is>
      </c>
    </row>
    <row collapsed="false" customFormat="false" customHeight="false" hidden="false" ht="12.1" outlineLevel="0" r="375">
      <c r="A375" s="5" t="s">
        <f>=HYPERLINK("https://www.leilaoonline.net/lote/detalhe/171415", "364")</f>
      </c>
      <c r="B375" s="4" t="s">
        <f>=HYPERLINK("https://www.leilaoonline.net/lote/detalhe/171415", " (Inversor de frequência - DANFOSS VLT HVAC DRIVE - 1,1 kW - 1,5hp 200-240 - 1 peças), (Inversor de frequência - DANFOSS VLT HVAC DRIVE - 11 kW - 15hp - 380-480V - 1 peça) - Total de peças 2")</f>
      </c>
      <c r="C375" s="4" t="inlineStr">
        <is>
          <t>Não vendido</t>
        </is>
      </c>
      <c r="D375" s="4" t="inlineStr">
        <is>
          <t>0</t>
        </is>
      </c>
      <c r="E375" s="5" t="inlineStr">
        <is>
          <t>5.000,00</t>
        </is>
      </c>
      <c r="F375" s="4" t="inlineStr">
        <is>
          <t>200.00</t>
        </is>
      </c>
    </row>
    <row collapsed="false" customFormat="false" customHeight="false" hidden="false" ht="12.1" outlineLevel="0" r="376">
      <c r="A376" s="5" t="s">
        <f>=HYPERLINK("https://www.leilaoonline.net/lote/detalhe/171416", "365")</f>
      </c>
      <c r="B376" s="4" t="s">
        <f>=HYPERLINK("https://www.leilaoonline.net/lote/detalhe/171416", " Inversor de frequência - DANFOSS HVAC DRIVE - 5,5 kW - 7,5hp 3x200-240 - 2 peças")</f>
      </c>
      <c r="C376" s="4" t="inlineStr">
        <is>
          <t>Não vendido</t>
        </is>
      </c>
      <c r="D376" s="4" t="inlineStr">
        <is>
          <t>0</t>
        </is>
      </c>
      <c r="E376" s="5" t="inlineStr">
        <is>
          <t>4.000,00</t>
        </is>
      </c>
      <c r="F376" s="4" t="inlineStr">
        <is>
          <t>200.00</t>
        </is>
      </c>
    </row>
    <row collapsed="false" customFormat="false" customHeight="false" hidden="false" ht="12.1" outlineLevel="0" r="377">
      <c r="A377" s="5" t="s">
        <f>=HYPERLINK("https://www.leilaoonline.net/lote/detalhe/171412", "366")</f>
      </c>
      <c r="B377" s="4" t="s">
        <f>=HYPERLINK("https://www.leilaoonline.net/lote/detalhe/171412", " Inversor de frequência - DANFOSS HVAC DRIVE - 15 kW - 20hp 3x380-480V - 1 peças")</f>
      </c>
      <c r="C377" s="4" t="inlineStr">
        <is>
          <t>Não vendido</t>
        </is>
      </c>
      <c r="D377" s="4" t="inlineStr">
        <is>
          <t>0</t>
        </is>
      </c>
      <c r="E377" s="5" t="inlineStr">
        <is>
          <t>4.500,00</t>
        </is>
      </c>
      <c r="F377" s="4" t="inlineStr">
        <is>
          <t>200.00</t>
        </is>
      </c>
    </row>
    <row collapsed="false" customFormat="false" customHeight="false" hidden="false" ht="12.1" outlineLevel="0" r="378">
      <c r="A378" s="5" t="s">
        <f>=HYPERLINK("https://www.leilaoonline.net/lote/detalhe/171413", "367")</f>
      </c>
      <c r="B378" s="4" t="s">
        <f>=HYPERLINK("https://www.leilaoonline.net/lote/detalhe/171413", " Inversor de frequência - CFW09 - WEG - Modelo: CFW090024T2223PSZ - 220x230V - 2 peças")</f>
      </c>
      <c r="C378" s="4" t="inlineStr">
        <is>
          <t>Não vendido</t>
        </is>
      </c>
      <c r="D378" s="4" t="inlineStr">
        <is>
          <t>0</t>
        </is>
      </c>
      <c r="E378" s="5" t="inlineStr">
        <is>
          <t>6.000,00</t>
        </is>
      </c>
      <c r="F378" s="4" t="inlineStr">
        <is>
          <t>250.00</t>
        </is>
      </c>
    </row>
    <row collapsed="false" customFormat="false" customHeight="false" hidden="false" ht="12.1" outlineLevel="0" r="379">
      <c r="A379" s="5" t="s">
        <f>=HYPERLINK("https://www.leilaoonline.net/lote/detalhe/171417", "368")</f>
      </c>
      <c r="B379" s="4" t="s">
        <f>=HYPERLINK("https://www.leilaoonline.net/lote/detalhe/171417", " Inversor de frequência - CFW500 - WEG - Modelo: CFW500A0P6T4NB20H00 - 380x480V - 2 peças")</f>
      </c>
      <c r="C379" s="4" t="inlineStr">
        <is>
          <t>Não vendido</t>
        </is>
      </c>
      <c r="D379" s="4" t="inlineStr">
        <is>
          <t>0</t>
        </is>
      </c>
      <c r="E379" s="5" t="inlineStr">
        <is>
          <t>3.000,00</t>
        </is>
      </c>
      <c r="F379" s="4" t="inlineStr">
        <is>
          <t>200.00</t>
        </is>
      </c>
    </row>
    <row collapsed="false" customFormat="false" customHeight="false" hidden="false" ht="12.1" outlineLevel="0" r="380">
      <c r="A380" s="5" t="s">
        <f>=HYPERLINK("https://www.leilaoonline.net/lote/detalhe/171420", "369")</f>
      </c>
      <c r="B380" s="4" t="s">
        <f>=HYPERLINK("https://www.leilaoonline.net/lote/detalhe/171420", " Inversor de frequência - CFW500 - WEG - Modelo: CFW500A0P6T4NB20H00 - 380x480V - 2 peças")</f>
      </c>
      <c r="C380" s="4" t="inlineStr">
        <is>
          <t>Não vendido</t>
        </is>
      </c>
      <c r="D380" s="4" t="inlineStr">
        <is>
          <t>0</t>
        </is>
      </c>
      <c r="E380" s="5" t="inlineStr">
        <is>
          <t>3.000,00</t>
        </is>
      </c>
      <c r="F380" s="4" t="inlineStr">
        <is>
          <t>200.00</t>
        </is>
      </c>
    </row>
    <row collapsed="false" customFormat="false" customHeight="false" hidden="false" ht="12.1" outlineLevel="0" r="381">
      <c r="A381" s="5" t="s">
        <f>=HYPERLINK("https://www.leilaoonline.net/lote/detalhe/171418", "370")</f>
      </c>
      <c r="B381" s="4" t="s">
        <f>=HYPERLINK("https://www.leilaoonline.net/lote/detalhe/171418", " (Inversor de frequência - CFW500 - WEG - Modelo: CFW500A2P6T4NB20H00 - 380x480V - 1 peça), (Inversor de frequência - CFW08 - WEG - Modelo: CFW080070T2024PSZ - 200x240V - 1 peça) - Total de 2 peças")</f>
      </c>
      <c r="C381" s="4" t="inlineStr">
        <is>
          <t>Não vendido</t>
        </is>
      </c>
      <c r="D381" s="4" t="inlineStr">
        <is>
          <t>0</t>
        </is>
      </c>
      <c r="E381" s="5" t="inlineStr">
        <is>
          <t>2.000,00</t>
        </is>
      </c>
      <c r="F381" s="4" t="inlineStr">
        <is>
          <t>200.00</t>
        </is>
      </c>
    </row>
    <row collapsed="false" customFormat="false" customHeight="false" hidden="false" ht="12.1" outlineLevel="0" r="382">
      <c r="A382" s="5" t="s">
        <f>=HYPERLINK("https://www.leilaoonline.net/lote/detalhe/171419", "371")</f>
      </c>
      <c r="B382" s="4" t="s">
        <f>=HYPERLINK("https://www.leilaoonline.net/lote/detalhe/171419", " Inversor de frequência - Marca: ABB - Drivers EAC ROHS - 1 peça")</f>
      </c>
      <c r="C382" s="4" t="inlineStr">
        <is>
          <t>Não vendido</t>
        </is>
      </c>
      <c r="D382" s="4" t="inlineStr">
        <is>
          <t>0</t>
        </is>
      </c>
      <c r="E382" s="5" t="inlineStr">
        <is>
          <t>2.000,00</t>
        </is>
      </c>
      <c r="F382" s="4" t="inlineStr">
        <is>
          <t>200.00</t>
        </is>
      </c>
    </row>
    <row collapsed="false" customFormat="false" customHeight="false" hidden="false" ht="12.1" outlineLevel="0" r="383">
      <c r="A383" s="5" t="s">
        <f>=HYPERLINK("https://www.leilaoonline.net/lote/detalhe/171422", "372")</f>
      </c>
      <c r="B383" s="4" t="s">
        <f>=HYPERLINK("https://www.leilaoonline.net/lote/detalhe/171422", " Inversor de frequência - DANFOSS VLT HVAC DRIVE - 5,5 kW - 7,5 hp 3x200-240V - 2 peças")</f>
      </c>
      <c r="C383" s="4" t="inlineStr">
        <is>
          <t>Não vendido</t>
        </is>
      </c>
      <c r="D383" s="4" t="inlineStr">
        <is>
          <t>0</t>
        </is>
      </c>
      <c r="E383" s="5" t="inlineStr">
        <is>
          <t>6.000,00</t>
        </is>
      </c>
      <c r="F383" s="4" t="inlineStr">
        <is>
          <t>250.00</t>
        </is>
      </c>
    </row>
    <row collapsed="false" customFormat="false" customHeight="false" hidden="false" ht="12.1" outlineLevel="0" r="384">
      <c r="A384" s="5" t="s">
        <f>=HYPERLINK("https://www.leilaoonline.net/lote/detalhe/171421", "373")</f>
      </c>
      <c r="B384" s="4" t="s">
        <f>=HYPERLINK("https://www.leilaoonline.net/lote/detalhe/171421", " Inversor de frequência - DANFOSS VLT HVAC DRIVE - (1 peça- 5,5 kW - 7,5 hp 3x380-480V), (1 peça - 2,2 kW - 3 hp 3x200-240V) - 2 peças")</f>
      </c>
      <c r="C384" s="4" t="inlineStr">
        <is>
          <t>Não vendido</t>
        </is>
      </c>
      <c r="D384" s="4" t="inlineStr">
        <is>
          <t>0</t>
        </is>
      </c>
      <c r="E384" s="5" t="inlineStr">
        <is>
          <t>3.500,00</t>
        </is>
      </c>
      <c r="F384" s="4" t="inlineStr">
        <is>
          <t>200.00</t>
        </is>
      </c>
    </row>
    <row collapsed="false" customFormat="false" customHeight="false" hidden="false" ht="12.1" outlineLevel="0" r="385">
      <c r="A385" s="5" t="s">
        <f>=HYPERLINK("https://www.leilaoonline.net/lote/detalhe/171423", "374")</f>
      </c>
      <c r="B385" s="4" t="s">
        <f>=HYPERLINK("https://www.leilaoonline.net/lote/detalhe/171423", " Inversor de frequência - DANFOSS VLT HVAC DRIVE - 1,5 kW - 2,0 hp 3x200-240V - 2 peças")</f>
      </c>
      <c r="C385" s="4" t="inlineStr">
        <is>
          <t>Não vendido</t>
        </is>
      </c>
      <c r="D385" s="4" t="inlineStr">
        <is>
          <t>0</t>
        </is>
      </c>
      <c r="E385" s="5" t="inlineStr">
        <is>
          <t>2.500,00</t>
        </is>
      </c>
      <c r="F385" s="4" t="inlineStr">
        <is>
          <t>200.00</t>
        </is>
      </c>
    </row>
    <row collapsed="false" customFormat="false" customHeight="false" hidden="false" ht="12.1" outlineLevel="0" r="386">
      <c r="A386" s="5" t="s">
        <f>=HYPERLINK("https://www.leilaoonline.net/lote/detalhe/171426", "375")</f>
      </c>
      <c r="B386" s="4" t="s">
        <f>=HYPERLINK("https://www.leilaoonline.net/lote/detalhe/171426", " Inversor de frequência - DANFOSS VLT 2800 - 3x200-240V - 2 peças")</f>
      </c>
      <c r="C386" s="4" t="inlineStr">
        <is>
          <t>Não vendido</t>
        </is>
      </c>
      <c r="D386" s="4" t="inlineStr">
        <is>
          <t>0</t>
        </is>
      </c>
      <c r="E386" s="5" t="inlineStr">
        <is>
          <t>6.000,00</t>
        </is>
      </c>
      <c r="F386" s="4" t="inlineStr">
        <is>
          <t>250.00</t>
        </is>
      </c>
    </row>
    <row collapsed="false" customFormat="false" customHeight="false" hidden="false" ht="12.1" outlineLevel="0" r="387">
      <c r="A387" s="5" t="s">
        <f>=HYPERLINK("https://www.leilaoonline.net/lote/detalhe/171424", "376")</f>
      </c>
      <c r="B387" s="4" t="s">
        <f>=HYPERLINK("https://www.leilaoonline.net/lote/detalhe/171424", " Multimedidor de energia Power Logic - 10N7650 - Marca Schneider Electric - 2 peças")</f>
      </c>
      <c r="C387" s="4" t="inlineStr">
        <is>
          <t>Não vendido</t>
        </is>
      </c>
      <c r="D387" s="4" t="inlineStr">
        <is>
          <t>0</t>
        </is>
      </c>
      <c r="E387" s="5" t="inlineStr">
        <is>
          <t>5.000,00</t>
        </is>
      </c>
      <c r="F387" s="4" t="inlineStr">
        <is>
          <t>200.00</t>
        </is>
      </c>
    </row>
    <row collapsed="false" customFormat="false" customHeight="false" hidden="false" ht="12.1" outlineLevel="0" r="388">
      <c r="A388" s="5" t="s">
        <f>=HYPERLINK("https://www.leilaoonline.net/lote/detalhe/171427", "377")</f>
      </c>
      <c r="B388" s="4" t="s">
        <f>=HYPERLINK("https://www.leilaoonline.net/lote/detalhe/171427", " Multimedidor de energia Power Logic - 10N7650 - Marca Schneider Electric - 2 peças")</f>
      </c>
      <c r="C388" s="4" t="inlineStr">
        <is>
          <t>Não vendido</t>
        </is>
      </c>
      <c r="D388" s="4" t="inlineStr">
        <is>
          <t>0</t>
        </is>
      </c>
      <c r="E388" s="5" t="inlineStr">
        <is>
          <t>5.000,00</t>
        </is>
      </c>
      <c r="F388" s="4" t="inlineStr">
        <is>
          <t>200.00</t>
        </is>
      </c>
    </row>
    <row collapsed="false" customFormat="false" customHeight="false" hidden="false" ht="12.1" outlineLevel="0" r="389">
      <c r="A389" s="5" t="s">
        <f>=HYPERLINK("https://www.leilaoonline.net/lote/detalhe/171428", "378")</f>
      </c>
      <c r="B389" s="4" t="s">
        <f>=HYPERLINK("https://www.leilaoonline.net/lote/detalhe/171428", " Multimedidor de energia Power Logic - 10N7650 - Marca Schneider Electric - 2 peças")</f>
      </c>
      <c r="C389" s="4" t="inlineStr">
        <is>
          <t>Não vendido</t>
        </is>
      </c>
      <c r="D389" s="4" t="inlineStr">
        <is>
          <t>0</t>
        </is>
      </c>
      <c r="E389" s="5" t="inlineStr">
        <is>
          <t>5.000,00</t>
        </is>
      </c>
      <c r="F389" s="4" t="inlineStr">
        <is>
          <t>200.00</t>
        </is>
      </c>
    </row>
    <row collapsed="false" customFormat="false" customHeight="false" hidden="false" ht="12.1" outlineLevel="0" r="390">
      <c r="A390" s="5" t="s">
        <f>=HYPERLINK("https://www.leilaoonline.net/lote/detalhe/171425", "379")</f>
      </c>
      <c r="B390" s="4" t="s">
        <f>=HYPERLINK("https://www.leilaoonline.net/lote/detalhe/171425", " Multimedidor de energia Power Logic - 10N7650 - Marca Schneider Electric - 2 peças")</f>
      </c>
      <c r="C390" s="4" t="inlineStr">
        <is>
          <t>Não vendido</t>
        </is>
      </c>
      <c r="D390" s="4" t="inlineStr">
        <is>
          <t>0</t>
        </is>
      </c>
      <c r="E390" s="5" t="inlineStr">
        <is>
          <t>5.000,00</t>
        </is>
      </c>
      <c r="F390" s="4" t="inlineStr">
        <is>
          <t>200.00</t>
        </is>
      </c>
    </row>
    <row collapsed="false" customFormat="false" customHeight="false" hidden="false" ht="12.1" outlineLevel="0" r="391">
      <c r="A391" s="5" t="s">
        <f>=HYPERLINK("https://www.leilaoonline.net/lote/detalhe/171430", "380")</f>
      </c>
      <c r="B391" s="4" t="s">
        <f>=HYPERLINK("https://www.leilaoonline.net/lote/detalhe/171430", " Multimedidor de energia Power Logic - 10N7650 - Marca Schneider Electric - 2 peças")</f>
      </c>
      <c r="C391" s="4" t="inlineStr">
        <is>
          <t>Não vendido</t>
        </is>
      </c>
      <c r="D391" s="4" t="inlineStr">
        <is>
          <t>0</t>
        </is>
      </c>
      <c r="E391" s="5" t="inlineStr">
        <is>
          <t>5.000,00</t>
        </is>
      </c>
      <c r="F391" s="4" t="inlineStr">
        <is>
          <t>200.00</t>
        </is>
      </c>
    </row>
    <row collapsed="false" customFormat="false" customHeight="false" hidden="false" ht="12.1" outlineLevel="0" r="392">
      <c r="A392" s="5" t="s">
        <f>=HYPERLINK("https://www.leilaoonline.net/lote/detalhe/171429", "381")</f>
      </c>
      <c r="B392" s="4" t="s">
        <f>=HYPERLINK("https://www.leilaoonline.net/lote/detalhe/171429", " Multimedidor de energia Power Logic - 10N7650 - Marca Schneider Electric - 2 peças")</f>
      </c>
      <c r="C392" s="4" t="inlineStr">
        <is>
          <t>Não vendido</t>
        </is>
      </c>
      <c r="D392" s="4" t="inlineStr">
        <is>
          <t>0</t>
        </is>
      </c>
      <c r="E392" s="5" t="inlineStr">
        <is>
          <t>5.000,00</t>
        </is>
      </c>
      <c r="F392" s="4" t="inlineStr">
        <is>
          <t>200.00</t>
        </is>
      </c>
    </row>
    <row collapsed="false" customFormat="false" customHeight="false" hidden="false" ht="12.1" outlineLevel="0" r="393">
      <c r="A393" s="5" t="s">
        <f>=HYPERLINK("https://www.leilaoonline.net/lote/detalhe/171431", "382")</f>
      </c>
      <c r="B393" s="4" t="s">
        <f>=HYPERLINK("https://www.leilaoonline.net/lote/detalhe/171431", " Inversor de frequência - DANFOSS VLT HVAC DRIVE - 30 kW - 40 hp 3x380-480V - 2 peças")</f>
      </c>
      <c r="C393" s="4" t="inlineStr">
        <is>
          <t>Não vendido</t>
        </is>
      </c>
      <c r="D393" s="4" t="inlineStr">
        <is>
          <t>0</t>
        </is>
      </c>
      <c r="E393" s="5" t="inlineStr">
        <is>
          <t>10.000,00</t>
        </is>
      </c>
      <c r="F393" s="4" t="inlineStr">
        <is>
          <t>250.00</t>
        </is>
      </c>
    </row>
    <row collapsed="false" customFormat="false" customHeight="false" hidden="false" ht="12.1" outlineLevel="0" r="394">
      <c r="A394" s="5" t="s">
        <f>=HYPERLINK("https://www.leilaoonline.net/lote/detalhe/171433", "383")</f>
      </c>
      <c r="B394" s="4" t="s">
        <f>=HYPERLINK("https://www.leilaoonline.net/lote/detalhe/171433", " Inversor de frequência - DANFOSS VLT HVAC DRIVE - 30 kW - 40 hp 3x380-480V - 2 peças")</f>
      </c>
      <c r="C394" s="4" t="inlineStr">
        <is>
          <t>Não vendido</t>
        </is>
      </c>
      <c r="D394" s="4" t="inlineStr">
        <is>
          <t>0</t>
        </is>
      </c>
      <c r="E394" s="5" t="inlineStr">
        <is>
          <t>10.000,00</t>
        </is>
      </c>
      <c r="F394" s="4" t="inlineStr">
        <is>
          <t>250.00</t>
        </is>
      </c>
    </row>
    <row collapsed="false" customFormat="false" customHeight="false" hidden="false" ht="12.1" outlineLevel="0" r="395">
      <c r="A395" s="5" t="s">
        <f>=HYPERLINK("https://www.leilaoonline.net/lote/detalhe/171435", "384")</f>
      </c>
      <c r="B395" s="4" t="s">
        <f>=HYPERLINK("https://www.leilaoonline.net/lote/detalhe/171435", " Inversor de frequência - DANFOSS VLT - 3x380-500V - 1 peça")</f>
      </c>
      <c r="C395" s="4" t="inlineStr">
        <is>
          <t>Não vendido</t>
        </is>
      </c>
      <c r="D395" s="4" t="inlineStr">
        <is>
          <t>0</t>
        </is>
      </c>
      <c r="E395" s="5" t="inlineStr">
        <is>
          <t>5.000,00</t>
        </is>
      </c>
      <c r="F395" s="4" t="inlineStr">
        <is>
          <t>200.00</t>
        </is>
      </c>
    </row>
    <row collapsed="false" customFormat="false" customHeight="false" hidden="false" ht="12.1" outlineLevel="0" r="396">
      <c r="A396" s="5" t="s">
        <f>=HYPERLINK("https://www.leilaoonline.net/lote/detalhe/171436", "385")</f>
      </c>
      <c r="B396" s="4" t="s">
        <f>=HYPERLINK("https://www.leilaoonline.net/lote/detalhe/171436", " Inversor de frequência - Marca: Emerson Industrial Automation - Modelo: SK2403 - 3 peças")</f>
      </c>
      <c r="C396" s="4" t="inlineStr">
        <is>
          <t>Não vendido</t>
        </is>
      </c>
      <c r="D396" s="4" t="inlineStr">
        <is>
          <t>0</t>
        </is>
      </c>
      <c r="E396" s="5" t="inlineStr">
        <is>
          <t>10.000,00</t>
        </is>
      </c>
      <c r="F396" s="4" t="inlineStr">
        <is>
          <t>250.00</t>
        </is>
      </c>
    </row>
    <row collapsed="false" customFormat="false" customHeight="false" hidden="false" ht="12.1" outlineLevel="0" r="397">
      <c r="A397" s="5" t="s">
        <f>=HYPERLINK("https://www.leilaoonline.net/lote/detalhe/171432", "386")</f>
      </c>
      <c r="B397" s="4" t="s">
        <f>=HYPERLINK("https://www.leilaoonline.net/lote/detalhe/171432", " Inversor de frequência - Marca: Emerson Industrial Automation - Modelo: SK2403 - 3 peças")</f>
      </c>
      <c r="C397" s="4" t="inlineStr">
        <is>
          <t>Não vendido</t>
        </is>
      </c>
      <c r="D397" s="4" t="inlineStr">
        <is>
          <t>0</t>
        </is>
      </c>
      <c r="E397" s="5" t="inlineStr">
        <is>
          <t>10.000,00</t>
        </is>
      </c>
      <c r="F397" s="4" t="inlineStr">
        <is>
          <t>250.00</t>
        </is>
      </c>
    </row>
    <row collapsed="false" customFormat="false" customHeight="false" hidden="false" ht="12.1" outlineLevel="0" r="398">
      <c r="A398" s="5" t="s">
        <f>=HYPERLINK("https://www.leilaoonline.net/lote/detalhe/171434", "387")</f>
      </c>
      <c r="B398" s="4" t="s">
        <f>=HYPERLINK("https://www.leilaoonline.net/lote/detalhe/171434", " Inversor de frequência - Marca: Emerson Industrial Automation - Modelo: SK2403 - 3 peças")</f>
      </c>
      <c r="C398" s="4" t="inlineStr">
        <is>
          <t>Não vendido</t>
        </is>
      </c>
      <c r="D398" s="4" t="inlineStr">
        <is>
          <t>0</t>
        </is>
      </c>
      <c r="E398" s="5" t="inlineStr">
        <is>
          <t>10.000,00</t>
        </is>
      </c>
      <c r="F398" s="4" t="inlineStr">
        <is>
          <t>250.00</t>
        </is>
      </c>
    </row>
    <row collapsed="false" customFormat="false" customHeight="false" hidden="false" ht="12.1" outlineLevel="0" r="399">
      <c r="A399" s="5" t="s">
        <f>=HYPERLINK("https://www.leilaoonline.net/lote/detalhe/171437", "388")</f>
      </c>
      <c r="B399" s="4" t="s">
        <f>=HYPERLINK("https://www.leilaoonline.net/lote/detalhe/171437", " Inversor de frequência - Marca: Emerson Industrial Automation - Modelo: SK2403 - 4 peças")</f>
      </c>
      <c r="C399" s="4" t="inlineStr">
        <is>
          <t>Não vendido</t>
        </is>
      </c>
      <c r="D399" s="4" t="inlineStr">
        <is>
          <t>0</t>
        </is>
      </c>
      <c r="E399" s="5" t="inlineStr">
        <is>
          <t>12.000,00</t>
        </is>
      </c>
      <c r="F399" s="4" t="inlineStr">
        <is>
          <t>250.00</t>
        </is>
      </c>
    </row>
    <row collapsed="false" customFormat="false" customHeight="false" hidden="false" ht="12.1" outlineLevel="0" r="400">
      <c r="A400" s="5" t="s">
        <f>=HYPERLINK("https://www.leilaoonline.net/lote/detalhe/171440", "389")</f>
      </c>
      <c r="B400" s="4" t="s">
        <f>=HYPERLINK("https://www.leilaoonline.net/lote/detalhe/171440", " Inversor de frequência - Marca: Telemecanique, Schneider Altivar 71 - Modelo ATV71HD30M3X - 30KW-40HP - 200/200V - 1 peça")</f>
      </c>
      <c r="C400" s="4" t="inlineStr">
        <is>
          <t>Não vendido</t>
        </is>
      </c>
      <c r="D400" s="4" t="inlineStr">
        <is>
          <t>0</t>
        </is>
      </c>
      <c r="E400" s="5" t="inlineStr">
        <is>
          <t>6.000,00</t>
        </is>
      </c>
      <c r="F400" s="4" t="inlineStr">
        <is>
          <t>200.00</t>
        </is>
      </c>
    </row>
    <row collapsed="false" customFormat="false" customHeight="false" hidden="false" ht="12.1" outlineLevel="0" r="401">
      <c r="A401" s="5" t="s">
        <f>=HYPERLINK("https://www.leilaoonline.net/lote/detalhe/171438", "390")</f>
      </c>
      <c r="B401" s="4" t="s">
        <f>=HYPERLINK("https://www.leilaoonline.net/lote/detalhe/171438", " Inversor de frequência - DANFOSS VLT HVAC DRIVE - 3x380-480V (15KW - 20HP - 2 peças), (11KW - 15HP - 2 peça), (30KW - 40HP - 2 peça),(5,5 KW - 7,5HP - 1 peça), (DANFOSS VLT 6000 HVAC - 1 peça) - Total 8 peças")</f>
      </c>
      <c r="C401" s="4" t="inlineStr">
        <is>
          <t>Não vendido</t>
        </is>
      </c>
      <c r="D401" s="4" t="inlineStr">
        <is>
          <t>0</t>
        </is>
      </c>
      <c r="E401" s="5" t="inlineStr">
        <is>
          <t>20.000,00</t>
        </is>
      </c>
      <c r="F401" s="4" t="inlineStr">
        <is>
          <t>250.00</t>
        </is>
      </c>
    </row>
    <row collapsed="false" customFormat="false" customHeight="false" hidden="false" ht="12.1" outlineLevel="0" r="402">
      <c r="A402" s="5" t="s">
        <f>=HYPERLINK("https://www.leilaoonline.net/lote/detalhe/171439", "391")</f>
      </c>
      <c r="B402" s="4" t="s">
        <f>=HYPERLINK("https://www.leilaoonline.net/lote/detalhe/171439", " Controlador microblau chiller - 3 peças")</f>
      </c>
      <c r="C402" s="4" t="inlineStr">
        <is>
          <t>Não vendido</t>
        </is>
      </c>
      <c r="D402" s="4" t="inlineStr">
        <is>
          <t>0</t>
        </is>
      </c>
      <c r="E402" s="5" t="inlineStr">
        <is>
          <t>3.000,00</t>
        </is>
      </c>
      <c r="F402" s="4" t="inlineStr">
        <is>
          <t>200.00</t>
        </is>
      </c>
    </row>
    <row collapsed="false" customFormat="false" customHeight="false" hidden="false" ht="12.1" outlineLevel="0" r="403">
      <c r="A403" s="5" t="s">
        <f>=HYPERLINK("https://www.leilaoonline.net/lote/detalhe/171442", "392")</f>
      </c>
      <c r="B403" s="4" t="s">
        <f>=HYPERLINK("https://www.leilaoonline.net/lote/detalhe/171442", " Central Alarme 1 linha 127END - Marca: Siemens - Modelo BC8001/E - 1 peça")</f>
      </c>
      <c r="C403" s="4" t="inlineStr">
        <is>
          <t>Não vendido</t>
        </is>
      </c>
      <c r="D403" s="4" t="inlineStr">
        <is>
          <t>0</t>
        </is>
      </c>
      <c r="E403" s="5" t="inlineStr">
        <is>
          <t>2.000,00</t>
        </is>
      </c>
      <c r="F403" s="4" t="inlineStr">
        <is>
          <t>200.00</t>
        </is>
      </c>
    </row>
    <row collapsed="false" customFormat="false" customHeight="false" hidden="false" ht="12.1" outlineLevel="0" r="404">
      <c r="A404" s="5" t="s">
        <f>=HYPERLINK("https://www.leilaoonline.net/lote/detalhe/171441", "393")</f>
      </c>
      <c r="B404" s="4" t="s">
        <f>=HYPERLINK("https://www.leilaoonline.net/lote/detalhe/171441", " Softstarted Altistart 48 - Schneider Electric - modelos: AT548C21Q - 1 peça")</f>
      </c>
      <c r="C404" s="4" t="inlineStr">
        <is>
          <t>Não vendido</t>
        </is>
      </c>
      <c r="D404" s="4" t="inlineStr">
        <is>
          <t>0</t>
        </is>
      </c>
      <c r="E404" s="5" t="inlineStr">
        <is>
          <t>10.000,00</t>
        </is>
      </c>
      <c r="F404" s="4" t="inlineStr">
        <is>
          <t>250.00</t>
        </is>
      </c>
    </row>
    <row collapsed="false" customFormat="false" customHeight="false" hidden="false" ht="12.1" outlineLevel="0" r="405">
      <c r="A405" s="5" t="s">
        <f>=HYPERLINK("https://www.leilaoonline.net/lote/detalhe/171443", "394")</f>
      </c>
      <c r="B405" s="4" t="s">
        <f>=HYPERLINK("https://www.leilaoonline.net/lote/detalhe/171443", " Inversor de frequência - Schneider/Telemecanique altivar 71 - 30 kW - 40hp 200-240 - 2 peças")</f>
      </c>
      <c r="C405" s="4" t="inlineStr">
        <is>
          <t>Não vendido</t>
        </is>
      </c>
      <c r="D405" s="4" t="inlineStr">
        <is>
          <t>0</t>
        </is>
      </c>
      <c r="E405" s="5" t="inlineStr">
        <is>
          <t>8.000,00</t>
        </is>
      </c>
      <c r="F405" s="4" t="inlineStr">
        <is>
          <t>250.00</t>
        </is>
      </c>
    </row>
    <row collapsed="false" customFormat="false" customHeight="false" hidden="false" ht="12.1" outlineLevel="0" r="406">
      <c r="A406" s="5" t="s">
        <f>=HYPERLINK("https://www.leilaoonline.net/lote/detalhe/171446", "395")</f>
      </c>
      <c r="B406" s="4" t="s">
        <f>=HYPERLINK("https://www.leilaoonline.net/lote/detalhe/171446", " Inversor de frequência - Schneider/Telemecanique altivar 71 - 37 kW - 50hp 200-240 - 2 peças")</f>
      </c>
      <c r="C406" s="4" t="inlineStr">
        <is>
          <t>Não vendido</t>
        </is>
      </c>
      <c r="D406" s="4" t="inlineStr">
        <is>
          <t>0</t>
        </is>
      </c>
      <c r="E406" s="5" t="inlineStr">
        <is>
          <t>10.000,00</t>
        </is>
      </c>
      <c r="F406" s="4" t="inlineStr">
        <is>
          <t>250.00</t>
        </is>
      </c>
    </row>
    <row collapsed="false" customFormat="false" customHeight="false" hidden="false" ht="12.1" outlineLevel="0" r="407">
      <c r="A407" s="5" t="s">
        <f>=HYPERLINK("https://www.leilaoonline.net/lote/detalhe/171444", "396")</f>
      </c>
      <c r="B407" s="4" t="s">
        <f>=HYPERLINK("https://www.leilaoonline.net/lote/detalhe/171444", " Disjuntor caixa moldada - Marca Westing House - Modelo RW320Y33W CRW65 - 2000A - 1 peça")</f>
      </c>
      <c r="C407" s="4" t="inlineStr">
        <is>
          <t>Não vendido</t>
        </is>
      </c>
      <c r="D407" s="4" t="inlineStr">
        <is>
          <t>0</t>
        </is>
      </c>
      <c r="E407" s="5" t="inlineStr">
        <is>
          <t>3.000,00</t>
        </is>
      </c>
      <c r="F407" s="4" t="inlineStr">
        <is>
          <t>200.00</t>
        </is>
      </c>
    </row>
    <row collapsed="false" customFormat="false" customHeight="false" hidden="false" ht="12.1" outlineLevel="0" r="408">
      <c r="A408" s="5" t="s">
        <f>=HYPERLINK("https://www.leilaoonline.net/lote/detalhe/171447", "397")</f>
      </c>
      <c r="B408" s="4" t="s">
        <f>=HYPERLINK("https://www.leilaoonline.net/lote/detalhe/171447", " Disjuntor caixa aberta automático - Marca Square D - Modelo 12-7180-12-54 2000A - Frame 1600A - KA125 nema - ICU(KA) 70 - 1 peça")</f>
      </c>
      <c r="C408" s="4" t="inlineStr">
        <is>
          <t>Não vendido</t>
        </is>
      </c>
      <c r="D408" s="4" t="inlineStr">
        <is>
          <t>0</t>
        </is>
      </c>
      <c r="E408" s="5" t="inlineStr">
        <is>
          <t>2.000,00</t>
        </is>
      </c>
      <c r="F408" s="4" t="inlineStr">
        <is>
          <t>200.00</t>
        </is>
      </c>
    </row>
    <row collapsed="false" customFormat="false" customHeight="false" hidden="false" ht="12.1" outlineLevel="0" r="409">
      <c r="A409" s="5" t="s">
        <f>=HYPERLINK("https://www.leilaoonline.net/lote/detalhe/171445", "398")</f>
      </c>
      <c r="B409" s="4" t="s">
        <f>=HYPERLINK("https://www.leilaoonline.net/lote/detalhe/171445", " Disjuntor caixa aberta automático - Marca Square D - Modelo 12-7180-12-54 2000A - Frame 1600A - KA125 nema - ICU(KA) 70 - 1 peça")</f>
      </c>
      <c r="C409" s="4" t="inlineStr">
        <is>
          <t>Não vendido</t>
        </is>
      </c>
      <c r="D409" s="4" t="inlineStr">
        <is>
          <t>0</t>
        </is>
      </c>
      <c r="E409" s="5" t="inlineStr">
        <is>
          <t>2.000,00</t>
        </is>
      </c>
      <c r="F409" s="4" t="inlineStr">
        <is>
          <t>200.00</t>
        </is>
      </c>
    </row>
    <row collapsed="false" customFormat="false" customHeight="false" hidden="false" ht="12.1" outlineLevel="0" r="410">
      <c r="A410" s="5" t="s">
        <f>=HYPERLINK("https://www.leilaoonline.net/lote/detalhe/171449", "399")</f>
      </c>
      <c r="B410" s="4" t="s">
        <f>=HYPERLINK("https://www.leilaoonline.net/lote/detalhe/171449", " Disjuntor caixa aberta automático - Marca Square D - Modelo 12-7180-12-54 2000A - Frame 1600A - KA125 nema - ICU(KA) 70 - 1 peça")</f>
      </c>
      <c r="C410" s="4" t="inlineStr">
        <is>
          <t>Não vendido</t>
        </is>
      </c>
      <c r="D410" s="4" t="inlineStr">
        <is>
          <t>0</t>
        </is>
      </c>
      <c r="E410" s="5" t="inlineStr">
        <is>
          <t>2.000,00</t>
        </is>
      </c>
      <c r="F410" s="4" t="inlineStr">
        <is>
          <t>200.00</t>
        </is>
      </c>
    </row>
    <row collapsed="false" customFormat="false" customHeight="false" hidden="false" ht="12.1" outlineLevel="0" r="411">
      <c r="A411" s="5" t="s">
        <f>=HYPERLINK("https://www.leilaoonline.net/lote/detalhe/171448", "400")</f>
      </c>
      <c r="B411" s="4" t="s">
        <f>=HYPERLINK("https://www.leilaoonline.net/lote/detalhe/171448", " Disjuntor caixa aberta automático - Marca Square D - Modelo 12-7180-12-54 2000A - Frame 1600A - KA125 nema - ICU(KA) 70 - 1 peça")</f>
      </c>
      <c r="C411" s="4" t="inlineStr">
        <is>
          <t>Não vendido</t>
        </is>
      </c>
      <c r="D411" s="4" t="inlineStr">
        <is>
          <t>0</t>
        </is>
      </c>
      <c r="E411" s="5" t="inlineStr">
        <is>
          <t>2.000,00</t>
        </is>
      </c>
      <c r="F411" s="4" t="inlineStr">
        <is>
          <t>200.00</t>
        </is>
      </c>
    </row>
    <row collapsed="false" customFormat="false" customHeight="false" hidden="false" ht="12.1" outlineLevel="0" r="412">
      <c r="A412" s="5" t="s">
        <f>=HYPERLINK("https://www.leilaoonline.net/lote/detalhe/171453", "401")</f>
      </c>
      <c r="B412" s="4" t="s">
        <f>=HYPERLINK("https://www.leilaoonline.net/lote/detalhe/171453", " Transformador de corrente - Marca Braspel - Tipo: BCS12 - Ano: 08/07 - F: 60hz - 2 peças")</f>
      </c>
      <c r="C412" s="4" t="inlineStr">
        <is>
          <t>Não vendido</t>
        </is>
      </c>
      <c r="D412" s="4" t="inlineStr">
        <is>
          <t>0</t>
        </is>
      </c>
      <c r="E412" s="5" t="inlineStr">
        <is>
          <t>1.000,00</t>
        </is>
      </c>
      <c r="F412" s="4" t="inlineStr">
        <is>
          <t>150.00</t>
        </is>
      </c>
    </row>
    <row collapsed="false" customFormat="false" customHeight="false" hidden="false" ht="12.1" outlineLevel="0" r="413">
      <c r="A413" s="5" t="s">
        <f>=HYPERLINK("https://www.leilaoonline.net/lote/detalhe/171455", "402")</f>
      </c>
      <c r="B413" s="4" t="s">
        <f>=HYPERLINK("https://www.leilaoonline.net/lote/detalhe/171455", " Transformador de corrente - Marca Braspel - Tipo: BCS12 - Ano: 08/07 - F: 60hz - 2 peças")</f>
      </c>
      <c r="C413" s="4" t="inlineStr">
        <is>
          <t>Não vendido</t>
        </is>
      </c>
      <c r="D413" s="4" t="inlineStr">
        <is>
          <t>0</t>
        </is>
      </c>
      <c r="E413" s="5" t="inlineStr">
        <is>
          <t>1.000,00</t>
        </is>
      </c>
      <c r="F413" s="4" t="inlineStr">
        <is>
          <t>150.00</t>
        </is>
      </c>
    </row>
    <row collapsed="false" customFormat="false" customHeight="false" hidden="false" ht="12.1" outlineLevel="0" r="414">
      <c r="A414" s="5" t="s">
        <f>=HYPERLINK("https://www.leilaoonline.net/lote/detalhe/171452", "403")</f>
      </c>
      <c r="B414" s="4" t="s">
        <f>=HYPERLINK("https://www.leilaoonline.net/lote/detalhe/171452", " Transformador de corrente - Marca Braspel - Tipo: BCS12 - Ano: 08/07 - F: 60hz - 2 peças")</f>
      </c>
      <c r="C414" s="4" t="inlineStr">
        <is>
          <t>Não vendido</t>
        </is>
      </c>
      <c r="D414" s="4" t="inlineStr">
        <is>
          <t>0</t>
        </is>
      </c>
      <c r="E414" s="5" t="inlineStr">
        <is>
          <t>1.000,00</t>
        </is>
      </c>
      <c r="F414" s="4" t="inlineStr">
        <is>
          <t>150.00</t>
        </is>
      </c>
    </row>
    <row collapsed="false" customFormat="false" customHeight="false" hidden="false" ht="12.1" outlineLevel="0" r="415">
      <c r="A415" s="5" t="s">
        <f>=HYPERLINK("https://www.leilaoonline.net/lote/detalhe/171450", "404")</f>
      </c>
      <c r="B415" s="4" t="s">
        <f>=HYPERLINK("https://www.leilaoonline.net/lote/detalhe/171450", " Transformador de corrente - Marca Braspel - Tipo: BCS12 - Ano: 08/07 - F: 60hz - 2 peças")</f>
      </c>
      <c r="C415" s="4" t="inlineStr">
        <is>
          <t>Não vendido</t>
        </is>
      </c>
      <c r="D415" s="4" t="inlineStr">
        <is>
          <t>0</t>
        </is>
      </c>
      <c r="E415" s="5" t="inlineStr">
        <is>
          <t>1.000,00</t>
        </is>
      </c>
      <c r="F415" s="4" t="inlineStr">
        <is>
          <t>150.00</t>
        </is>
      </c>
    </row>
    <row collapsed="false" customFormat="false" customHeight="false" hidden="false" ht="12.1" outlineLevel="0" r="416">
      <c r="A416" s="5" t="s">
        <f>=HYPERLINK("https://www.leilaoonline.net/lote/detalhe/171454", "405")</f>
      </c>
      <c r="B416" s="4" t="s">
        <f>=HYPERLINK("https://www.leilaoonline.net/lote/detalhe/171454", " Transformador de corrente - Marca Braspel - Tipo: BCS12 - Ano: 08/07 - F: 60hz - 2 peças")</f>
      </c>
      <c r="C416" s="4" t="inlineStr">
        <is>
          <t>Não vendido</t>
        </is>
      </c>
      <c r="D416" s="4" t="inlineStr">
        <is>
          <t>0</t>
        </is>
      </c>
      <c r="E416" s="5" t="inlineStr">
        <is>
          <t>1.000,00</t>
        </is>
      </c>
      <c r="F416" s="4" t="inlineStr">
        <is>
          <t>150.00</t>
        </is>
      </c>
    </row>
    <row collapsed="false" customFormat="false" customHeight="false" hidden="false" ht="12.1" outlineLevel="0" r="417">
      <c r="A417" s="5" t="s">
        <f>=HYPERLINK("https://www.leilaoonline.net/lote/detalhe/171451", "406")</f>
      </c>
      <c r="B417" s="4" t="s">
        <f>=HYPERLINK("https://www.leilaoonline.net/lote/detalhe/171451", " Transformador de corrente - Marca Braspel - Tipo: BCS12 - Ano: 08/07 - F: 60hz - 2 peças")</f>
      </c>
      <c r="C417" s="4" t="inlineStr">
        <is>
          <t>Não vendido</t>
        </is>
      </c>
      <c r="D417" s="4" t="inlineStr">
        <is>
          <t>0</t>
        </is>
      </c>
      <c r="E417" s="5" t="inlineStr">
        <is>
          <t>1.000,00</t>
        </is>
      </c>
      <c r="F417" s="4" t="inlineStr">
        <is>
          <t>150.00</t>
        </is>
      </c>
    </row>
    <row collapsed="false" customFormat="false" customHeight="false" hidden="false" ht="12.1" outlineLevel="0" r="418">
      <c r="A418" s="5" t="s">
        <f>=HYPERLINK("https://www.leilaoonline.net/lote/detalhe/171459", "407")</f>
      </c>
      <c r="B418" s="4" t="s">
        <f>=HYPERLINK("https://www.leilaoonline.net/lote/detalhe/171459", " Transformador de corrente - Marca Braspel - Tipo: BCS12 - Ano: 08/07 - F: 60hz - 2 peças")</f>
      </c>
      <c r="C418" s="4" t="inlineStr">
        <is>
          <t>Não vendido</t>
        </is>
      </c>
      <c r="D418" s="4" t="inlineStr">
        <is>
          <t>0</t>
        </is>
      </c>
      <c r="E418" s="5" t="inlineStr">
        <is>
          <t>1.000,00</t>
        </is>
      </c>
      <c r="F418" s="4" t="inlineStr">
        <is>
          <t>150.00</t>
        </is>
      </c>
    </row>
    <row collapsed="false" customFormat="false" customHeight="false" hidden="false" ht="12.1" outlineLevel="0" r="419">
      <c r="A419" s="5" t="s">
        <f>=HYPERLINK("https://www.leilaoonline.net/lote/detalhe/171456", "408")</f>
      </c>
      <c r="B419" s="4" t="s">
        <f>=HYPERLINK("https://www.leilaoonline.net/lote/detalhe/171456", " Transformador de corrente - Marca Braspel - Tipo: BCS12 - Ano: 08/07 - F: 60hz - 2 peças")</f>
      </c>
      <c r="C419" s="4" t="inlineStr">
        <is>
          <t>Não vendido</t>
        </is>
      </c>
      <c r="D419" s="4" t="inlineStr">
        <is>
          <t>0</t>
        </is>
      </c>
      <c r="E419" s="5" t="inlineStr">
        <is>
          <t>1.000,00</t>
        </is>
      </c>
      <c r="F419" s="4" t="inlineStr">
        <is>
          <t>150.00</t>
        </is>
      </c>
    </row>
    <row collapsed="false" customFormat="false" customHeight="false" hidden="false" ht="12.1" outlineLevel="0" r="420">
      <c r="A420" s="5" t="s">
        <f>=HYPERLINK("https://www.leilaoonline.net/lote/detalhe/171458", "409")</f>
      </c>
      <c r="B420" s="4" t="s">
        <f>=HYPERLINK("https://www.leilaoonline.net/lote/detalhe/171458", " Transformador de corrente Indutivo - Marca Brasformer - Tipo: BPS12 - Ano: 1998 - 2 peças")</f>
      </c>
      <c r="C420" s="4" t="inlineStr">
        <is>
          <t>Não vendido</t>
        </is>
      </c>
      <c r="D420" s="4" t="inlineStr">
        <is>
          <t>0</t>
        </is>
      </c>
      <c r="E420" s="5" t="inlineStr">
        <is>
          <t>1.000,00</t>
        </is>
      </c>
      <c r="F420" s="4" t="inlineStr">
        <is>
          <t>150.00</t>
        </is>
      </c>
    </row>
    <row collapsed="false" customFormat="false" customHeight="false" hidden="false" ht="12.1" outlineLevel="0" r="421">
      <c r="A421" s="5" t="s">
        <f>=HYPERLINK("https://www.leilaoonline.net/lote/detalhe/171460", "410")</f>
      </c>
      <c r="B421" s="4" t="s">
        <f>=HYPERLINK("https://www.leilaoonline.net/lote/detalhe/171460", " (Transformador de potencial Indutivo - Marca Braspel - Tipo: BPS12 - Ano: 08/07 - F: 60hz - 1 peças), (Transformador de potencial Indutivo - Marca Brasformer - Tipo: BPS11 - Ano: 2015 - 1 peça) - Total de 2 peças")</f>
      </c>
      <c r="C421" s="4" t="inlineStr">
        <is>
          <t>Não vendido</t>
        </is>
      </c>
      <c r="D421" s="4" t="inlineStr">
        <is>
          <t>0</t>
        </is>
      </c>
      <c r="E421" s="5" t="inlineStr">
        <is>
          <t>1.000,00</t>
        </is>
      </c>
      <c r="F421" s="4" t="inlineStr">
        <is>
          <t>150.00</t>
        </is>
      </c>
    </row>
    <row collapsed="false" customFormat="false" customHeight="false" hidden="false" ht="12.1" outlineLevel="0" r="422">
      <c r="A422" s="5" t="s">
        <f>=HYPERLINK("https://www.leilaoonline.net/lote/detalhe/171457", "411")</f>
      </c>
      <c r="B422" s="4" t="s">
        <f>=HYPERLINK("https://www.leilaoonline.net/lote/detalhe/171457", " (Transformador de corrente - Marca Brasformer - Tipo: BCS12 - Ano: 06/12 - 1 peça), (Transformador de potencial Indutivo - Marca Braspel - Tipo: BPS12 - Ano: 08/07 - 1 peças) - Total de peças 2")</f>
      </c>
      <c r="C422" s="4" t="inlineStr">
        <is>
          <t>Não vendido</t>
        </is>
      </c>
      <c r="D422" s="4" t="inlineStr">
        <is>
          <t>0</t>
        </is>
      </c>
      <c r="E422" s="5" t="inlineStr">
        <is>
          <t>1.000,00</t>
        </is>
      </c>
      <c r="F422" s="4" t="inlineStr">
        <is>
          <t>150.00</t>
        </is>
      </c>
    </row>
    <row collapsed="false" customFormat="false" customHeight="false" hidden="false" ht="12.1" outlineLevel="0" r="423">
      <c r="A423" s="5" t="s">
        <f>=HYPERLINK("https://www.leilaoonline.net/lote/detalhe/171461", "412")</f>
      </c>
      <c r="B423" s="4" t="s">
        <f>=HYPERLINK("https://www.leilaoonline.net/lote/detalhe/171461", " Transformador de corrente - Marca Zilmer Ineltec - Tipo: ICSF - Ano: 2010 - 1 peça")</f>
      </c>
      <c r="C423" s="4" t="inlineStr">
        <is>
          <t>Não vendido</t>
        </is>
      </c>
      <c r="D423" s="4" t="inlineStr">
        <is>
          <t>0</t>
        </is>
      </c>
      <c r="E423" s="5" t="inlineStr">
        <is>
          <t>500,00</t>
        </is>
      </c>
      <c r="F423" s="4" t="inlineStr">
        <is>
          <t>150.00</t>
        </is>
      </c>
    </row>
    <row collapsed="false" customFormat="false" customHeight="false" hidden="false" ht="12.1" outlineLevel="0" r="424">
      <c r="A424" s="5" t="s">
        <f>=HYPERLINK("https://www.leilaoonline.net/lote/detalhe/171463", "413")</f>
      </c>
      <c r="B424" s="4" t="s">
        <f>=HYPERLINK("https://www.leilaoonline.net/lote/detalhe/171463", " Transformador de corrente - Marca Isolet - n⁰: 34/955-ku - 2 peças")</f>
      </c>
      <c r="C424" s="4" t="inlineStr">
        <is>
          <t>Não vendido</t>
        </is>
      </c>
      <c r="D424" s="4" t="inlineStr">
        <is>
          <t>0</t>
        </is>
      </c>
      <c r="E424" s="5" t="inlineStr">
        <is>
          <t>1.000,00</t>
        </is>
      </c>
      <c r="F424" s="4" t="inlineStr">
        <is>
          <t>150.00</t>
        </is>
      </c>
    </row>
    <row collapsed="false" customFormat="false" customHeight="false" hidden="false" ht="12.1" outlineLevel="0" r="425">
      <c r="A425" s="5" t="s">
        <f>=HYPERLINK("https://www.leilaoonline.net/lote/detalhe/171462", "414")</f>
      </c>
      <c r="B425" s="4" t="s">
        <f>=HYPERLINK("https://www.leilaoonline.net/lote/detalhe/171462", " Transformador de corrente - Marca Isolet - n⁰: 34/955-ku - 2 peças")</f>
      </c>
      <c r="C425" s="4" t="inlineStr">
        <is>
          <t>Não vendido</t>
        </is>
      </c>
      <c r="D425" s="4" t="inlineStr">
        <is>
          <t>0</t>
        </is>
      </c>
      <c r="E425" s="5" t="inlineStr">
        <is>
          <t>1.000,00</t>
        </is>
      </c>
      <c r="F425" s="4" t="inlineStr">
        <is>
          <t>150.00</t>
        </is>
      </c>
    </row>
    <row collapsed="false" customFormat="false" customHeight="false" hidden="false" ht="12.1" outlineLevel="0" r="426">
      <c r="A426" s="5" t="s">
        <f>=HYPERLINK("https://www.leilaoonline.net/lote/detalhe/171466", "415")</f>
      </c>
      <c r="B426" s="4" t="s">
        <f>=HYPERLINK("https://www.leilaoonline.net/lote/detalhe/171466", " Transformador de corrente - Marca Isolet - n⁰: 34/955-ku - 2 peças")</f>
      </c>
      <c r="C426" s="4" t="inlineStr">
        <is>
          <t>Não vendido</t>
        </is>
      </c>
      <c r="D426" s="4" t="inlineStr">
        <is>
          <t>0</t>
        </is>
      </c>
      <c r="E426" s="5" t="inlineStr">
        <is>
          <t>1.000,00</t>
        </is>
      </c>
      <c r="F426" s="4" t="inlineStr">
        <is>
          <t>150.00</t>
        </is>
      </c>
    </row>
    <row collapsed="false" customFormat="false" customHeight="false" hidden="false" ht="12.1" outlineLevel="0" r="427">
      <c r="A427" s="5" t="s">
        <f>=HYPERLINK("https://www.leilaoonline.net/lote/detalhe/171464", "416")</f>
      </c>
      <c r="B427" s="4" t="s">
        <f>=HYPERLINK("https://www.leilaoonline.net/lote/detalhe/171464", " Transformador de corrente - Marca Isolet - n⁰: 34/95/ku - 3 peças")</f>
      </c>
      <c r="C427" s="4" t="inlineStr">
        <is>
          <t>Não vendido</t>
        </is>
      </c>
      <c r="D427" s="4" t="inlineStr">
        <is>
          <t>0</t>
        </is>
      </c>
      <c r="E427" s="5" t="inlineStr">
        <is>
          <t>1.500,00</t>
        </is>
      </c>
      <c r="F427" s="4" t="inlineStr">
        <is>
          <t>200.00</t>
        </is>
      </c>
    </row>
    <row collapsed="false" customFormat="false" customHeight="false" hidden="false" ht="12.1" outlineLevel="0" r="428">
      <c r="A428" s="5" t="s">
        <f>=HYPERLINK("https://www.leilaoonline.net/lote/detalhe/171465", "417")</f>
      </c>
      <c r="B428" s="4" t="s">
        <f>=HYPERLINK("https://www.leilaoonline.net/lote/detalhe/171465", " Transformador de corrente - Marca Isolet - n⁰: 34/95/ku - 2 peças")</f>
      </c>
      <c r="C428" s="4" t="inlineStr">
        <is>
          <t>Não vendido</t>
        </is>
      </c>
      <c r="D428" s="4" t="inlineStr">
        <is>
          <t>0</t>
        </is>
      </c>
      <c r="E428" s="5" t="inlineStr">
        <is>
          <t>1.000,00</t>
        </is>
      </c>
      <c r="F428" s="4" t="inlineStr">
        <is>
          <t>150.00</t>
        </is>
      </c>
    </row>
    <row collapsed="false" customFormat="false" customHeight="false" hidden="false" ht="12.1" outlineLevel="0" r="429">
      <c r="A429" s="5" t="s">
        <f>=HYPERLINK("https://www.leilaoonline.net/lote/detalhe/171468", "418")</f>
      </c>
      <c r="B429" s="4" t="s">
        <f>=HYPERLINK("https://www.leilaoonline.net/lote/detalhe/171468", " Transformador de corrente - Marca Isolet - n⁰: 34/95/ku - 2 peças")</f>
      </c>
      <c r="C429" s="4" t="inlineStr">
        <is>
          <t>Não vendido</t>
        </is>
      </c>
      <c r="D429" s="4" t="inlineStr">
        <is>
          <t>0</t>
        </is>
      </c>
      <c r="E429" s="5" t="inlineStr">
        <is>
          <t>1.000,00</t>
        </is>
      </c>
      <c r="F429" s="4" t="inlineStr">
        <is>
          <t>150.00</t>
        </is>
      </c>
    </row>
    <row collapsed="false" customFormat="false" customHeight="false" hidden="false" ht="12.1" outlineLevel="0" r="430">
      <c r="A430" s="5" t="s">
        <f>=HYPERLINK("https://www.leilaoonline.net/lote/detalhe/171467", "419")</f>
      </c>
      <c r="B430" s="4" t="s">
        <f>=HYPERLINK("https://www.leilaoonline.net/lote/detalhe/171467", " Transformador de corrente - Marca Isolet - n⁰: 34/95/ku - 2 peças")</f>
      </c>
      <c r="C430" s="4" t="inlineStr">
        <is>
          <t>Não vendido</t>
        </is>
      </c>
      <c r="D430" s="4" t="inlineStr">
        <is>
          <t>0</t>
        </is>
      </c>
      <c r="E430" s="5" t="inlineStr">
        <is>
          <t>1.000,00</t>
        </is>
      </c>
      <c r="F430" s="4" t="inlineStr">
        <is>
          <t>150.00</t>
        </is>
      </c>
    </row>
    <row collapsed="false" customFormat="false" customHeight="false" hidden="false" ht="12.1" outlineLevel="0" r="431">
      <c r="A431" s="5" t="s">
        <f>=HYPERLINK("https://www.leilaoonline.net/lote/detalhe/171470", "420")</f>
      </c>
      <c r="B431" s="4" t="s">
        <f>=HYPERLINK("https://www.leilaoonline.net/lote/detalhe/171470", " Inversor de frequência - Marca Danfoss - VLT HVAC DRIVE - Modelo: 30KW - 40HP - 380-480 - 2 peças")</f>
      </c>
      <c r="C431" s="4" t="inlineStr">
        <is>
          <t>Não vendido</t>
        </is>
      </c>
      <c r="D431" s="4" t="inlineStr">
        <is>
          <t>0</t>
        </is>
      </c>
      <c r="E431" s="5" t="inlineStr">
        <is>
          <t>10.000,00</t>
        </is>
      </c>
      <c r="F431" s="4" t="inlineStr">
        <is>
          <t>250.00</t>
        </is>
      </c>
    </row>
    <row collapsed="false" customFormat="false" customHeight="false" hidden="false" ht="12.1" outlineLevel="0" r="432">
      <c r="A432" s="5" t="s">
        <f>=HYPERLINK("https://www.leilaoonline.net/lote/detalhe/171469", "421")</f>
      </c>
      <c r="B432" s="4" t="s">
        <f>=HYPERLINK("https://www.leilaoonline.net/lote/detalhe/171469", "[ VÍDEO ] Transformadores - Diversos modelos e voltagens - Tripolar monofásico, etc - A seco e a óleo - 17 Peças e 1 peça só a carcaça com silício - Total de peças 18")</f>
      </c>
      <c r="C432" s="4" t="inlineStr">
        <is>
          <t>Não vendido</t>
        </is>
      </c>
      <c r="D432" s="4" t="inlineStr">
        <is>
          <t>0</t>
        </is>
      </c>
      <c r="E432" s="5" t="inlineStr">
        <is>
          <t>30.000,00</t>
        </is>
      </c>
      <c r="F432" s="4" t="inlineStr">
        <is>
          <t>500.00</t>
        </is>
      </c>
    </row>
    <row collapsed="false" customFormat="false" customHeight="false" hidden="false" ht="12.1" outlineLevel="0" r="433">
      <c r="A433" s="5" t="s">
        <f>=HYPERLINK("https://www.leilaoonline.net/lote/detalhe/171473", "422")</f>
      </c>
      <c r="B433" s="4" t="s">
        <f>=HYPERLINK("https://www.leilaoonline.net/lote/detalhe/171473", " Caixa painel elétrico transparente com CLP ET 200s Standard Siemens - 10 módulos Siemens, 1 subcon-Plus/Profib/SC2 com bornes, tendo 10 unidades")</f>
      </c>
      <c r="C433" s="4" t="inlineStr">
        <is>
          <t>Não vendido</t>
        </is>
      </c>
      <c r="D433" s="4" t="inlineStr">
        <is>
          <t>0</t>
        </is>
      </c>
      <c r="E433" s="5" t="inlineStr">
        <is>
          <t>5.000,00</t>
        </is>
      </c>
      <c r="F433" s="4" t="inlineStr">
        <is>
          <t>200.00</t>
        </is>
      </c>
    </row>
    <row collapsed="false" customFormat="false" customHeight="false" hidden="false" ht="12.1" outlineLevel="0" r="434">
      <c r="A434" s="5" t="s">
        <f>=HYPERLINK("https://www.leilaoonline.net/lote/detalhe/171471", "423")</f>
      </c>
      <c r="B434" s="4" t="s">
        <f>=HYPERLINK("https://www.leilaoonline.net/lote/detalhe/171471", " (Caixa painel elétrico transparente com CLP ET 200s Standard Siemens - 10 módulos Siemens, 1 subcon-Plus/Profib/SC2 com bornes, tendo 7 unidades) e (Caixa painel elétrico transparente com CLP ET 200s Standard Siemens - 9 módulos Siemens, 1 com bornes, tendo 3 unidades)")</f>
      </c>
      <c r="C434" s="4" t="inlineStr">
        <is>
          <t>Não vendido</t>
        </is>
      </c>
      <c r="D434" s="4" t="inlineStr">
        <is>
          <t>0</t>
        </is>
      </c>
      <c r="E434" s="5" t="inlineStr">
        <is>
          <t>5.000,00</t>
        </is>
      </c>
      <c r="F434" s="4" t="inlineStr">
        <is>
          <t>200.00</t>
        </is>
      </c>
    </row>
    <row collapsed="false" customFormat="false" customHeight="false" hidden="false" ht="12.1" outlineLevel="0" r="435">
      <c r="A435" s="5" t="s">
        <f>=HYPERLINK("https://www.leilaoonline.net/lote/detalhe/171472", "424")</f>
      </c>
      <c r="B435" s="4" t="s">
        <f>=HYPERLINK("https://www.leilaoonline.net/lote/detalhe/171472", " Caixa painel elétrico transparente com 1 CLP ET 200s Standard Siemens - com diversos módulos Siemens com conector com bornes - 6 unidade")</f>
      </c>
      <c r="C435" s="4" t="inlineStr">
        <is>
          <t>Não vendido</t>
        </is>
      </c>
      <c r="D435" s="4" t="inlineStr">
        <is>
          <t>0</t>
        </is>
      </c>
      <c r="E435" s="5" t="inlineStr">
        <is>
          <t>3.000,00</t>
        </is>
      </c>
      <c r="F435" s="4" t="inlineStr">
        <is>
          <t>200.00</t>
        </is>
      </c>
    </row>
    <row collapsed="false" customFormat="false" customHeight="false" hidden="false" ht="12.1" outlineLevel="0" r="436">
      <c r="A436" s="5" t="s">
        <f>=HYPERLINK("https://www.leilaoonline.net/lote/detalhe/171475", "425")</f>
      </c>
      <c r="B436" s="4" t="s">
        <f>=HYPERLINK("https://www.leilaoonline.net/lote/detalhe/171475", " Diversas Caixa painel elétrico transparente com disjuntores motor telemecanique - aproximadamente 10 unidades")</f>
      </c>
      <c r="C436" s="4" t="inlineStr">
        <is>
          <t>Não vendido</t>
        </is>
      </c>
      <c r="D436" s="4" t="inlineStr">
        <is>
          <t>0</t>
        </is>
      </c>
      <c r="E436" s="5" t="inlineStr">
        <is>
          <t>3.000,00</t>
        </is>
      </c>
      <c r="F436" s="4" t="inlineStr">
        <is>
          <t>200.00</t>
        </is>
      </c>
    </row>
    <row collapsed="false" customFormat="false" customHeight="false" hidden="false" ht="12.1" outlineLevel="0" r="437">
      <c r="A437" s="5" t="s">
        <f>=HYPERLINK("https://www.leilaoonline.net/lote/detalhe/171478", "426")</f>
      </c>
      <c r="B437" s="4" t="s">
        <f>=HYPERLINK("https://www.leilaoonline.net/lote/detalhe/171478", " Diversas Caixa painel elétrico transparente com disjuntores motor telemecanique e contatores telemecanique, diversos bornes - aproximadamente 9 unidades")</f>
      </c>
      <c r="C437" s="4" t="inlineStr">
        <is>
          <t>Não vendido</t>
        </is>
      </c>
      <c r="D437" s="4" t="inlineStr">
        <is>
          <t>0</t>
        </is>
      </c>
      <c r="E437" s="5" t="inlineStr">
        <is>
          <t>4.000,00</t>
        </is>
      </c>
      <c r="F437" s="4" t="inlineStr">
        <is>
          <t>200.00</t>
        </is>
      </c>
    </row>
    <row collapsed="false" customFormat="false" customHeight="false" hidden="false" ht="12.1" outlineLevel="0" r="438">
      <c r="A438" s="5" t="s">
        <f>=HYPERLINK("https://www.leilaoonline.net/lote/detalhe/171474", "427")</f>
      </c>
      <c r="B438" s="4" t="s">
        <f>=HYPERLINK("https://www.leilaoonline.net/lote/detalhe/171474", " Pistões pneumáticos e Hidráulicos cilindros - Diversos tipos e modelos tamanhos aproximadamente 39 peças")</f>
      </c>
      <c r="C438" s="4" t="inlineStr">
        <is>
          <t>Não vendido</t>
        </is>
      </c>
      <c r="D438" s="4" t="inlineStr">
        <is>
          <t>0</t>
        </is>
      </c>
      <c r="E438" s="5" t="inlineStr">
        <is>
          <t>5.000,00</t>
        </is>
      </c>
      <c r="F438" s="4" t="inlineStr">
        <is>
          <t>200.00</t>
        </is>
      </c>
    </row>
    <row collapsed="false" customFormat="false" customHeight="false" hidden="false" ht="12.1" outlineLevel="0" r="439">
      <c r="A439" s="5" t="s">
        <f>=HYPERLINK("https://www.leilaoonline.net/lote/detalhe/171477", "428")</f>
      </c>
      <c r="B439" s="4" t="s">
        <f>=HYPERLINK("https://www.leilaoonline.net/lote/detalhe/171477", " Pistões pneumáticos e Hidráulicos cilindros - Diversos tipos e modelos tamanhos aproximadamente 113 peças")</f>
      </c>
      <c r="C439" s="4" t="inlineStr">
        <is>
          <t>Não vendido</t>
        </is>
      </c>
      <c r="D439" s="4" t="inlineStr">
        <is>
          <t>0</t>
        </is>
      </c>
      <c r="E439" s="5" t="inlineStr">
        <is>
          <t>7.000,00</t>
        </is>
      </c>
      <c r="F439" s="4" t="inlineStr">
        <is>
          <t>200.00</t>
        </is>
      </c>
    </row>
    <row collapsed="false" customFormat="false" customHeight="false" hidden="false" ht="12.1" outlineLevel="0" r="440">
      <c r="A440" s="5" t="s">
        <f>=HYPERLINK("https://www.leilaoonline.net/lote/detalhe/171479", "429")</f>
      </c>
      <c r="B440" s="4" t="s">
        <f>=HYPERLINK("https://www.leilaoonline.net/lote/detalhe/171479", " Pistões pneumáticos e Hidráulicos cilindros - Diversos tipos e modelos tamanhos aproximadamente 46 peças")</f>
      </c>
      <c r="C440" s="4" t="inlineStr">
        <is>
          <t>Não vendido</t>
        </is>
      </c>
      <c r="D440" s="4" t="inlineStr">
        <is>
          <t>0</t>
        </is>
      </c>
      <c r="E440" s="5" t="inlineStr">
        <is>
          <t>8.000,00</t>
        </is>
      </c>
      <c r="F440" s="4" t="inlineStr">
        <is>
          <t>250.00</t>
        </is>
      </c>
    </row>
    <row collapsed="false" customFormat="false" customHeight="false" hidden="false" ht="12.1" outlineLevel="0" r="441">
      <c r="A441" s="5" t="s">
        <f>=HYPERLINK("https://www.leilaoonline.net/lote/detalhe/171476", "430")</f>
      </c>
      <c r="B441" s="4" t="s">
        <f>=HYPERLINK("https://www.leilaoonline.net/lote/detalhe/171476", " Pistões pneumáticos e Hidráulicos cilindros - Diversos tipos e modelos tamanhos aproximadamente 94 peças")</f>
      </c>
      <c r="C441" s="4" t="inlineStr">
        <is>
          <t>Não vendido</t>
        </is>
      </c>
      <c r="D441" s="4" t="inlineStr">
        <is>
          <t>0</t>
        </is>
      </c>
      <c r="E441" s="5" t="inlineStr">
        <is>
          <t>10.000,00</t>
        </is>
      </c>
      <c r="F441" s="4" t="inlineStr">
        <is>
          <t>250.00</t>
        </is>
      </c>
    </row>
    <row collapsed="false" customFormat="false" customHeight="false" hidden="false" ht="12.1" outlineLevel="0" r="442">
      <c r="A442" s="5" t="s">
        <f>=HYPERLINK("https://www.leilaoonline.net/lote/detalhe/171480", "431")</f>
      </c>
      <c r="B442" s="4" t="s">
        <f>=HYPERLINK("https://www.leilaoonline.net/lote/detalhe/171480", " Válvulas hidráulica diversas modelos e marcas tamanhos tipos")</f>
      </c>
      <c r="C442" s="4" t="inlineStr">
        <is>
          <t>Não vendido</t>
        </is>
      </c>
      <c r="D442" s="4" t="inlineStr">
        <is>
          <t>0</t>
        </is>
      </c>
      <c r="E442" s="5" t="inlineStr">
        <is>
          <t>20.000,00</t>
        </is>
      </c>
      <c r="F442" s="4" t="inlineStr">
        <is>
          <t>250.00</t>
        </is>
      </c>
    </row>
    <row collapsed="false" customFormat="false" customHeight="false" hidden="false" ht="12.1" outlineLevel="0" r="443">
      <c r="A443" s="5" t="s">
        <f>=HYPERLINK("https://www.leilaoonline.net/lote/detalhe/171483", "432")</f>
      </c>
      <c r="B443" s="4" t="s">
        <f>=HYPERLINK("https://www.leilaoonline.net/lote/detalhe/171483", " Bomba hidráulica cilindros diversos modelos marcas tamanhos tipos")</f>
      </c>
      <c r="C443" s="4" t="inlineStr">
        <is>
          <t>Não vendido</t>
        </is>
      </c>
      <c r="D443" s="4" t="inlineStr">
        <is>
          <t>0</t>
        </is>
      </c>
      <c r="E443" s="5" t="inlineStr">
        <is>
          <t>10.000,00</t>
        </is>
      </c>
      <c r="F443" s="4" t="inlineStr">
        <is>
          <t>250.00</t>
        </is>
      </c>
    </row>
    <row collapsed="false" customFormat="false" customHeight="false" hidden="false" ht="12.1" outlineLevel="0" r="444">
      <c r="A444" s="5" t="s">
        <f>=HYPERLINK("https://www.leilaoonline.net/lote/detalhe/171484", "433")</f>
      </c>
      <c r="B444" s="4" t="s">
        <f>=HYPERLINK("https://www.leilaoonline.net/lote/detalhe/171484", " Bomba hidráulica cilindros diversos modelos marcas tamanhos tipos")</f>
      </c>
      <c r="C444" s="4" t="inlineStr">
        <is>
          <t>Não vendido</t>
        </is>
      </c>
      <c r="D444" s="4" t="inlineStr">
        <is>
          <t>0</t>
        </is>
      </c>
      <c r="E444" s="5" t="inlineStr">
        <is>
          <t>10.000,00</t>
        </is>
      </c>
      <c r="F444" s="4" t="inlineStr">
        <is>
          <t>250.00</t>
        </is>
      </c>
    </row>
    <row collapsed="false" customFormat="false" customHeight="false" hidden="false" ht="12.1" outlineLevel="0" r="445">
      <c r="A445" s="5" t="s">
        <f>=HYPERLINK("https://www.leilaoonline.net/lote/detalhe/171482", "434")</f>
      </c>
      <c r="B445" s="4" t="s">
        <f>=HYPERLINK("https://www.leilaoonline.net/lote/detalhe/171482", " Trocador de calor hidráulico Industrial 4 peças diversas marcas e modelos")</f>
      </c>
      <c r="C445" s="4" t="inlineStr">
        <is>
          <t>Não vendido</t>
        </is>
      </c>
      <c r="D445" s="4" t="inlineStr">
        <is>
          <t>0</t>
        </is>
      </c>
      <c r="E445" s="5" t="inlineStr">
        <is>
          <t>4.000,00</t>
        </is>
      </c>
      <c r="F445" s="4" t="inlineStr">
        <is>
          <t>200.00</t>
        </is>
      </c>
    </row>
    <row collapsed="false" customFormat="false" customHeight="false" hidden="false" ht="12.1" outlineLevel="0" r="446">
      <c r="A446" s="5" t="s">
        <f>=HYPERLINK("https://www.leilaoonline.net/lote/detalhe/171481", "435")</f>
      </c>
      <c r="B446" s="4" t="s">
        <f>=HYPERLINK("https://www.leilaoonline.net/lote/detalhe/171481", " Bombas hidráulicas cilindro e filtro válvula hidráulicas diversos modelos e marcas tipos tamanhos")</f>
      </c>
      <c r="C446" s="4" t="inlineStr">
        <is>
          <t>Não vendido</t>
        </is>
      </c>
      <c r="D446" s="4" t="inlineStr">
        <is>
          <t>0</t>
        </is>
      </c>
      <c r="E446" s="5" t="inlineStr">
        <is>
          <t>10.000,00</t>
        </is>
      </c>
      <c r="F446" s="4" t="inlineStr">
        <is>
          <t>250.00</t>
        </is>
      </c>
    </row>
    <row collapsed="false" customFormat="false" customHeight="false" hidden="false" ht="12.1" outlineLevel="0" r="447">
      <c r="A447" s="5" t="s">
        <f>=HYPERLINK("https://www.leilaoonline.net/lote/detalhe/171486", "436")</f>
      </c>
      <c r="B447" s="4" t="s">
        <f>=HYPERLINK("https://www.leilaoonline.net/lote/detalhe/171486", " Transformador de corrente diversas marcas e modelos voltagens tipos")</f>
      </c>
      <c r="C447" s="4" t="inlineStr">
        <is>
          <t>Não vendido</t>
        </is>
      </c>
      <c r="D447" s="4" t="inlineStr">
        <is>
          <t>0</t>
        </is>
      </c>
      <c r="E447" s="5" t="inlineStr">
        <is>
          <t>4.000,00</t>
        </is>
      </c>
      <c r="F447" s="4" t="inlineStr">
        <is>
          <t>200.00</t>
        </is>
      </c>
    </row>
    <row collapsed="false" customFormat="false" customHeight="false" hidden="false" ht="12.1" outlineLevel="0" r="448">
      <c r="A448" s="5" t="s">
        <f>=HYPERLINK("https://www.leilaoonline.net/lote/detalhe/171485", "437")</f>
      </c>
      <c r="B448" s="4" t="s">
        <f>=HYPERLINK("https://www.leilaoonline.net/lote/detalhe/171485", " Painel Elétrico Montado - Quadro: inversor de frequência CFW08 WEG - 380-480VAC - Fonte de alimentação: Siemens Sitop - Transformador de corrente: Siemens 500VA - CLP: Siemens Simatic - S7-200 e IHM: Siemens - PLACA DO PAINEL - Marca: SABO - Sistema de Segurança - Alimentação do Bamburv")</f>
      </c>
      <c r="C448" s="4" t="inlineStr">
        <is>
          <t>Não vendido</t>
        </is>
      </c>
      <c r="D448" s="4" t="inlineStr">
        <is>
          <t>0</t>
        </is>
      </c>
      <c r="E448" s="5" t="inlineStr">
        <is>
          <t>5.000,00</t>
        </is>
      </c>
      <c r="F448" s="4" t="inlineStr">
        <is>
          <t>200.00</t>
        </is>
      </c>
    </row>
    <row collapsed="false" customFormat="false" customHeight="false" hidden="false" ht="12.1" outlineLevel="0" r="449">
      <c r="A449" s="5" t="s">
        <f>=HYPERLINK("https://www.leilaoonline.net/lote/detalhe/171487", "438")</f>
      </c>
      <c r="B449" s="4" t="s">
        <f>=HYPERLINK("https://www.leilaoonline.net/lote/detalhe/171487", " Painel elétrico montado - disjuntor caixa moldada EATON - 50A - 1 peça - Disjuntor motor 2 peças - Contator 8 peças com e sem relé - Ventoinha cooler 1 peça - Mini disjuntor tripolar 2 peças - Inversor de frequência powerflex 40 - Allen-Bradley - Transformador 3 peças - Placa painel - Eletrodak - f")</f>
      </c>
      <c r="C449" s="4" t="inlineStr">
        <is>
          <t>Não vendido</t>
        </is>
      </c>
      <c r="D449" s="4" t="inlineStr">
        <is>
          <t>0</t>
        </is>
      </c>
      <c r="E449" s="5" t="inlineStr">
        <is>
          <t>4.000,00</t>
        </is>
      </c>
      <c r="F449" s="4" t="inlineStr">
        <is>
          <t>200.00</t>
        </is>
      </c>
    </row>
    <row collapsed="false" customFormat="false" customHeight="false" hidden="false" ht="12.1" outlineLevel="0" r="450">
      <c r="A450" s="5" t="s">
        <f>=HYPERLINK("https://www.leilaoonline.net/lote/detalhe/171489", "439")</f>
      </c>
      <c r="B450" s="4" t="s">
        <f>=HYPERLINK("https://www.leilaoonline.net/lote/detalhe/171489", " Painel elétrico montado - Inversor de frequência powerflex 40 - Allen-Bradley - 1 peça - Mini Disjuntor - 2 peças - Disjuntor motor - 2 peças - Contator 8 peças com e sem relé - Cooler - 2 peças - Transformador - Placa painel - Eletrodak - frequência 60 hz")</f>
      </c>
      <c r="C450" s="4" t="inlineStr">
        <is>
          <t>Não vendido</t>
        </is>
      </c>
      <c r="D450" s="4" t="inlineStr">
        <is>
          <t>0</t>
        </is>
      </c>
      <c r="E450" s="5" t="inlineStr">
        <is>
          <t>3.000,00</t>
        </is>
      </c>
      <c r="F450" s="4" t="inlineStr">
        <is>
          <t>200.00</t>
        </is>
      </c>
    </row>
    <row collapsed="false" customFormat="false" customHeight="false" hidden="false" ht="12.1" outlineLevel="0" r="451">
      <c r="A451" s="5" t="s">
        <f>=HYPERLINK("https://www.leilaoonline.net/lote/detalhe/171488", "440")</f>
      </c>
      <c r="B451" s="4" t="s">
        <f>=HYPERLINK("https://www.leilaoonline.net/lote/detalhe/171488", " Painel elétrico montado - Inversor de frequência powerflex 40 - Allen-Bradley - 1 peça - Disjuntor caixa moldada - 1 peça - Mini Disjuntor - 3 peças - Contator 8 peças com e sem relé - Cooler - 2 peças - Transformador - 3 peças - disjuntor de motor - 2 peças - Placa painel - Eletrodak - frequência ")</f>
      </c>
      <c r="C451" s="4" t="inlineStr">
        <is>
          <t>Não vendido</t>
        </is>
      </c>
      <c r="D451" s="4" t="inlineStr">
        <is>
          <t>0</t>
        </is>
      </c>
      <c r="E451" s="5" t="inlineStr">
        <is>
          <t>3.000,00</t>
        </is>
      </c>
      <c r="F451" s="4" t="inlineStr">
        <is>
          <t>200.00</t>
        </is>
      </c>
    </row>
    <row collapsed="false" customFormat="false" customHeight="false" hidden="false" ht="12.1" outlineLevel="0" r="452">
      <c r="A452" s="5" t="s">
        <f>=HYPERLINK("https://www.leilaoonline.net/lote/detalhe/171491", "441")</f>
      </c>
      <c r="B452" s="4" t="s">
        <f>=HYPERLINK("https://www.leilaoonline.net/lote/detalhe/171491", " Painel elétrico montado - Inversor de frequência Powerflex 40 - Marca 22B - 1 peça - Disjuntor caixa moldada - 1 peça - Mini Disjuntor - 2 peças - Contator 8 peças com e sem relé - Cooler - 2 peças - Transformador - 3 peças - disjuntor de motor - 2 peças - Placa painel - Eletrodak - frequência 60 h")</f>
      </c>
      <c r="C452" s="4" t="inlineStr">
        <is>
          <t>Não vendido</t>
        </is>
      </c>
      <c r="D452" s="4" t="inlineStr">
        <is>
          <t>0</t>
        </is>
      </c>
      <c r="E452" s="5" t="inlineStr">
        <is>
          <t>3.000,00</t>
        </is>
      </c>
      <c r="F452" s="4" t="inlineStr">
        <is>
          <t>200.00</t>
        </is>
      </c>
    </row>
    <row collapsed="false" customFormat="false" customHeight="false" hidden="false" ht="12.1" outlineLevel="0" r="453">
      <c r="A453" s="5" t="s">
        <f>=HYPERLINK("https://www.leilaoonline.net/lote/detalhe/171492", "442")</f>
      </c>
      <c r="B453" s="4" t="s">
        <f>=HYPERLINK("https://www.leilaoonline.net/lote/detalhe/171492", " (Painel elétrico montado - Mini Disjuntor - 3 peças - Disjuntor motor - 1 peça - Relé de segurança SRB 301-24V - Fonte de alimentação sitor psu 100L - Marca: Siemens - Dispositivo contra surtos - 1 peça), (PLACA DO PAINEL - Entornador de Big Bag - tensão: 220VAC - Tensão de isolação: 10KA - Ambient")</f>
      </c>
      <c r="C453" s="4" t="inlineStr">
        <is>
          <t>Não vendido</t>
        </is>
      </c>
      <c r="D453" s="4" t="inlineStr">
        <is>
          <t>0</t>
        </is>
      </c>
      <c r="E453" s="5" t="inlineStr">
        <is>
          <t>3.000,00</t>
        </is>
      </c>
      <c r="F453" s="4" t="inlineStr">
        <is>
          <t>200.00</t>
        </is>
      </c>
    </row>
    <row collapsed="false" customFormat="false" customHeight="false" hidden="false" ht="12.1" outlineLevel="0" r="454">
      <c r="A454" s="5" t="s">
        <f>=HYPERLINK("https://www.leilaoonline.net/lote/detalhe/171490", "443")</f>
      </c>
      <c r="B454" s="4" t="s">
        <f>=HYPERLINK("https://www.leilaoonline.net/lote/detalhe/171490", " Painel elétrico montado - Inversor de frequência powerflex 40 - Allen-Bradley - 1 peça - Disjuntor caixa moldada - 1 peça - Disjuntor motor - 2 peças - Mini Disjuntor - 2 peças - Contator com e sem relé - 8 peças - Cooler - 2 peças - Transformador - 3 peças - Placa painel - Eletrodak - frequência 6")</f>
      </c>
      <c r="C454" s="4" t="inlineStr">
        <is>
          <t>Não vendido</t>
        </is>
      </c>
      <c r="D454" s="4" t="inlineStr">
        <is>
          <t>0</t>
        </is>
      </c>
      <c r="E454" s="5" t="inlineStr">
        <is>
          <t>3.000,00</t>
        </is>
      </c>
      <c r="F454" s="4" t="inlineStr">
        <is>
          <t>200.00</t>
        </is>
      </c>
    </row>
    <row collapsed="false" customFormat="false" customHeight="false" hidden="false" ht="12.1" outlineLevel="0" r="455">
      <c r="A455" s="5" t="s">
        <f>=HYPERLINK("https://www.leilaoonline.net/lote/detalhe/171493", "444")</f>
      </c>
      <c r="B455" s="4" t="s">
        <f>=HYPERLINK("https://www.leilaoonline.net/lote/detalhe/171493", " Painel elétrico montado - Inversor de frequência VLT HVAC Basic Drive - Marca Danfoss - 2 peça - Disjuntor caixa moldada - 1 peça - Disjuntor motor - 2 peças - Mini Disjuntor - 2 peças - Contator com e sem relé - 5 peças - Cooler - 1 peça - Transformador - 2 peças - termostato ambiente digital 2 pe")</f>
      </c>
      <c r="C455" s="4" t="inlineStr">
        <is>
          <t>Não vendido</t>
        </is>
      </c>
      <c r="D455" s="4" t="inlineStr">
        <is>
          <t>0</t>
        </is>
      </c>
      <c r="E455" s="5" t="inlineStr">
        <is>
          <t>6.500,00</t>
        </is>
      </c>
      <c r="F455" s="4" t="inlineStr">
        <is>
          <t>250.00</t>
        </is>
      </c>
    </row>
    <row collapsed="false" customFormat="false" customHeight="false" hidden="false" ht="12.1" outlineLevel="0" r="456">
      <c r="A456" s="5" t="s">
        <f>=HYPERLINK("https://www.leilaoonline.net/lote/detalhe/171495", "445")</f>
      </c>
      <c r="B456" s="4" t="s">
        <f>=HYPERLINK("https://www.leilaoonline.net/lote/detalhe/171495", " Planilha disjuntores caixa moldada Siemens")</f>
      </c>
      <c r="C456" s="4" t="inlineStr">
        <is>
          <t>Não vendido</t>
        </is>
      </c>
      <c r="D456" s="4" t="inlineStr">
        <is>
          <t>0</t>
        </is>
      </c>
      <c r="E456" s="5" t="inlineStr">
        <is>
          <t>90.000,00</t>
        </is>
      </c>
      <c r="F456" s="4" t="inlineStr">
        <is>
          <t>500.00</t>
        </is>
      </c>
    </row>
    <row collapsed="false" customFormat="false" customHeight="false" hidden="false" ht="12.1" outlineLevel="0" r="457">
      <c r="A457" s="5" t="s">
        <f>=HYPERLINK("https://www.leilaoonline.net/lote/detalhe/171494", "446")</f>
      </c>
      <c r="B457" s="4" t="s">
        <f>=HYPERLINK("https://www.leilaoonline.net/lote/detalhe/171494", " (Nobreak - sistemas de energia - 1 peça), (UPS NEW MS 2000VA - 1 peça), (UPS TB 5000VA - 1 peça), (UPS TB 3000VA - 1 peça) (Lacerda sistemas de energia TB linha eccopower - 4 peças), (Nobreak Banco de Baterias Enegetron - modelo GEX-DW405 - 1 peça), (Nobreak banco de baterias Engetron Double Woy - ")</f>
      </c>
      <c r="C457" s="4" t="inlineStr">
        <is>
          <t>Não vendido</t>
        </is>
      </c>
      <c r="D457" s="4" t="inlineStr">
        <is>
          <t>0</t>
        </is>
      </c>
      <c r="E457" s="5" t="inlineStr">
        <is>
          <t>12.000,00</t>
        </is>
      </c>
      <c r="F457" s="4" t="inlineStr">
        <is>
          <t>250.00</t>
        </is>
      </c>
    </row>
    <row collapsed="false" customFormat="false" customHeight="false" hidden="false" ht="12.1" outlineLevel="0" r="458">
      <c r="A458" s="5" t="s">
        <f>=HYPERLINK("https://www.leilaoonline.net/lote/detalhe/171496", "447")</f>
      </c>
      <c r="B458" s="4" t="s">
        <f>=HYPERLINK("https://www.leilaoonline.net/lote/detalhe/171496", " Inversor de frequência VAGON 60 HP")</f>
      </c>
      <c r="C458" s="4" t="inlineStr">
        <is>
          <t>Não vendido</t>
        </is>
      </c>
      <c r="D458" s="4" t="inlineStr">
        <is>
          <t>0</t>
        </is>
      </c>
      <c r="E458" s="5" t="inlineStr">
        <is>
          <t>10.000,00</t>
        </is>
      </c>
      <c r="F458"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2026-05-31T06:23:25.00Z</dcterms:created>
  <dc:creator>Tellks Tecnologia</dc:creator>
  <cp:revision>0</cp:revision>
</cp:coreProperties>
</file>