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EMPURRADORES - 4 BARCAÇAS - 33 TRATORES - 12 CAMINHÕES - REBOQUES - 3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=HYPERLINK("https://www.leilaoonline.net/lote/detalhe/269503", "462")</f>
      </c>
      <c r="B11" s="4" t="s">
        <f>=HYPERLINK("https://www.leilaoonline.net/lote/detalhe/269503", "2 ROSCAS DE BAGACILHO CAP. 200 TON./ HORA - PAT: 192805/ 192806 - LOC. CAARAPÓ")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=HYPERLINK("https://www.leilaoonline.net/lote/detalhe/269488", "465")</f>
      </c>
      <c r="B12" s="4" t="s">
        <f>=HYPERLINK("https://www.leilaoonline.net/lote/detalhe/269488", "TANQUE DE AÇO INOX, TIPO BALÃO FLASH MOD. EV TTQ 11 CAPAC. 3M3, ANO 2009 - PT: 234997 - LOC. CAARAPÓ")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=HYPERLINK("https://www.leilaoonline.net/lote/detalhe/269504", "466")</f>
      </c>
      <c r="B13" s="4" t="s">
        <f>=HYPERLINK("https://www.leilaoonline.net/lote/detalhe/269504", "COLUNA DE ABSORÇÃO JW, ANO: 2008 - PT: 89986 - LOC.: CAARAPÓ")</f>
      </c>
      <c r="C13" s="4" t="inlineStr">
        <is>
          <t>Vendido</t>
        </is>
      </c>
      <c r="D13" s="4" t="inlineStr">
        <is>
          <t>15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=HYPERLINK("https://www.leilaoonline.net/lote/detalhe/270137", "1002")</f>
      </c>
      <c r="B14" s="4" t="s">
        <f>=HYPERLINK("https://www.leilaoonline.net/lote/detalhe/270137", "QUADRICICLO POLARIS. - FR11006025. - LOC. LAGOA DA PRATA ")</f>
      </c>
      <c r="C14" s="4" t="inlineStr">
        <is>
          <t>Vendido</t>
        </is>
      </c>
      <c r="D14" s="4" t="inlineStr">
        <is>
          <t>2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=HYPERLINK("https://www.leilaoonline.net/lote/detalhe/270130", "1003")</f>
      </c>
      <c r="B15" s="4" t="s">
        <f>=HYPERLINK("https://www.leilaoonline.net/lote/detalhe/270130", "ENFARDADEIRA MCA VALTRA MOD CHALLENGER 2270. - FR5003074. - LOC. LAGOA DA PRATA ")</f>
      </c>
      <c r="C15" s="4" t="inlineStr">
        <is>
          <t>Vendido</t>
        </is>
      </c>
      <c r="D15" s="4" t="inlineStr">
        <is>
          <t>1</t>
        </is>
      </c>
      <c r="E15" s="5" t="inlineStr">
        <is>
          <t>130.000,00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=HYPERLINK("https://www.leilaoonline.net/lote/detalhe/270131", "1004")</f>
      </c>
      <c r="B16" s="4" t="s">
        <f>=HYPERLINK("https://www.leilaoonline.net/lote/detalhe/270131", "CARRETA/ACUMULADOR FARDO MCA NEW HOLLAND. - FR5003077. - LOC.LAGOA DA PRATA ")</f>
      </c>
      <c r="C16" s="4" t="inlineStr">
        <is>
          <t>Vendido</t>
        </is>
      </c>
      <c r="D16" s="4" t="inlineStr">
        <is>
          <t>6</t>
        </is>
      </c>
      <c r="E16" s="5" t="inlineStr">
        <is>
          <t>3.000,00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=HYPERLINK("https://www.leilaoonline.net/lote/detalhe/269640", "1055")</f>
      </c>
      <c r="B17" s="4" t="s">
        <f>=HYPERLINK("https://www.leilaoonline.net/lote/detalhe/269640", "SUCATA DE PNEUS. - S/FR. - LOC. VALE DO ROSÁRIO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=HYPERLINK("https://www.leilaoonline.net/lote/detalhe/270025", "1059")</f>
      </c>
      <c r="B18" s="4" t="s">
        <f>=HYPERLINK("https://www.leilaoonline.net/lote/detalhe/270025", "CAMINHÃO MERCEDES BENZ AXOR 3344S 6X4; ANO 2014/2014; BRANCA. - FR362067. - LOC. GASA ")</f>
      </c>
      <c r="C18" s="4" t="inlineStr">
        <is>
          <t>Vendido</t>
        </is>
      </c>
      <c r="D18" s="4" t="inlineStr">
        <is>
          <t>42</t>
        </is>
      </c>
      <c r="E18" s="5" t="inlineStr">
        <is>
          <t>71.000,00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=HYPERLINK("https://www.leilaoonline.net/lote/detalhe/269165", "1074")</f>
      </c>
      <c r="B19" s="4" t="s">
        <f>=HYPERLINK("https://www.leilaoonline.net/lote/detalhe/269165", "TRATOR JOHN DEERE 7225J; ANO 2016. - FR112364. - LOC. MUNDIAL ")</f>
      </c>
      <c r="C19" s="4" t="inlineStr">
        <is>
          <t>Vendido</t>
        </is>
      </c>
      <c r="D19" s="4" t="inlineStr">
        <is>
          <t>30</t>
        </is>
      </c>
      <c r="E19" s="5" t="inlineStr">
        <is>
          <t>108.000,00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=HYPERLINK("https://www.leilaoonline.net/lote/detalhe/269173", "1075")</f>
      </c>
      <c r="B20" s="4" t="s">
        <f>=HYPERLINK("https://www.leilaoonline.net/lote/detalhe/269173", "TRATOR JOHN DEERE 7225J; ANO 2016. - FR112345. - LOC. MUNDIAL")</f>
      </c>
      <c r="C20" s="4" t="inlineStr">
        <is>
          <t>Vendido</t>
        </is>
      </c>
      <c r="D20" s="4" t="inlineStr">
        <is>
          <t>43</t>
        </is>
      </c>
      <c r="E20" s="5" t="inlineStr">
        <is>
          <t>150.000,00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=HYPERLINK("https://www.leilaoonline.net/lote/detalhe/269179", "1076")</f>
      </c>
      <c r="B21" s="4" t="s">
        <f>=HYPERLINK("https://www.leilaoonline.net/lote/detalhe/269179", "TRATOR JOHN DEERE 7225J; ANO 2016. - FR112338. - LOC. MUNDIAL ")</f>
      </c>
      <c r="C21" s="4" t="inlineStr">
        <is>
          <t>Vendido</t>
        </is>
      </c>
      <c r="D21" s="4" t="inlineStr">
        <is>
          <t>41</t>
        </is>
      </c>
      <c r="E21" s="5" t="inlineStr">
        <is>
          <t>130.000,00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=HYPERLINK("https://www.leilaoonline.net/lote/detalhe/269184", "1078")</f>
      </c>
      <c r="B22" s="4" t="s">
        <f>=HYPERLINK("https://www.leilaoonline.net/lote/detalhe/269184", "TRATOR JOHN DEERE 7225J; ANO 2016. - FR112349. - LOC. MUNDIAL ")</f>
      </c>
      <c r="C22" s="4" t="inlineStr">
        <is>
          <t>Vendido</t>
        </is>
      </c>
      <c r="D22" s="4" t="inlineStr">
        <is>
          <t>27</t>
        </is>
      </c>
      <c r="E22" s="5" t="inlineStr">
        <is>
          <t>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=HYPERLINK("https://www.leilaoonline.net/lote/detalhe/269154", "1088")</f>
      </c>
      <c r="B23" s="4" t="s">
        <f>=HYPERLINK("https://www.leilaoonline.net/lote/detalhe/269154", "TRATOR JOHN DEERE 7225J; ANO 2016. - FR100756. - LOC. GASA ")</f>
      </c>
      <c r="C23" s="4" t="inlineStr">
        <is>
          <t>Vendido</t>
        </is>
      </c>
      <c r="D23" s="4" t="inlineStr">
        <is>
          <t>42</t>
        </is>
      </c>
      <c r="E23" s="5" t="inlineStr">
        <is>
          <t>176.000,00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=HYPERLINK("https://www.leilaoonline.net/lote/detalhe/270028", "1094")</f>
      </c>
      <c r="B24" s="4" t="s">
        <f>=HYPERLINK("https://www.leilaoonline.net/lote/detalhe/270028", "REBOQUE FACCHINI RF CA; ANO 1998/1998; AZUL. - FR112472. - LOC. GASA ")</f>
      </c>
      <c r="C24" s="4" t="inlineStr">
        <is>
          <t>Vendido</t>
        </is>
      </c>
      <c r="D24" s="4" t="inlineStr">
        <is>
          <t>8</t>
        </is>
      </c>
      <c r="E24" s="5" t="inlineStr">
        <is>
          <t>12.000,00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=HYPERLINK("https://www.leilaoonline.net/lote/detalhe/269634", "1101")</f>
      </c>
      <c r="B25" s="4" t="s">
        <f>=HYPERLINK("https://www.leilaoonline.net/lote/detalhe/269634", " 2 ESTRUTURAS DE IMPLEMENTO. - FR103237. - LOC. BARRA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=HYPERLINK("https://www.leilaoonline.net/lote/detalhe/271059", "1115")</f>
      </c>
      <c r="B26" s="4" t="s">
        <f>=HYPERLINK("https://www.leilaoonline.net/lote/detalhe/271059", "CARREGADEIRA SANTAL (S/ MOTOR E OUTROS). - FR360749. - LOC. SERRA ")</f>
      </c>
      <c r="C26" s="4" t="inlineStr">
        <is>
          <t>Vendido</t>
        </is>
      </c>
      <c r="D26" s="4" t="inlineStr">
        <is>
          <t>56</t>
        </is>
      </c>
      <c r="E26" s="5" t="inlineStr">
        <is>
          <t>72.000,00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=HYPERLINK("https://www.leilaoonline.net/lote/detalhe/270138", "1124")</f>
      </c>
      <c r="B27" s="4" t="s">
        <f>=HYPERLINK("https://www.leilaoonline.net/lote/detalhe/270138", "TRATOR CASE MX 260 MAGNUM 4X4. - ANO 2017 - FR20383. - LOC. ZANIN")</f>
      </c>
      <c r="C27" s="4" t="inlineStr">
        <is>
          <t>Vendido</t>
        </is>
      </c>
      <c r="D27" s="4" t="inlineStr">
        <is>
          <t>1</t>
        </is>
      </c>
      <c r="E27" s="5" t="inlineStr">
        <is>
          <t>70.000,00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=HYPERLINK("https://www.leilaoonline.net/lote/detalhe/270139", "1126")</f>
      </c>
      <c r="B28" s="4" t="s">
        <f>=HYPERLINK("https://www.leilaoonline.net/lote/detalhe/270139", "TRATOR CASE MX 235; ANO 2014. - FR10763. - LOC. ZANIN ")</f>
      </c>
      <c r="C28" s="4" t="inlineStr">
        <is>
          <t>Vendido</t>
        </is>
      </c>
      <c r="D28" s="4" t="inlineStr">
        <is>
          <t>28</t>
        </is>
      </c>
      <c r="E28" s="5" t="inlineStr">
        <is>
          <t>67.000,00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=HYPERLINK("https://www.leilaoonline.net/lote/detalhe/270763", "1129")</f>
      </c>
      <c r="B29" s="4" t="s">
        <f>=HYPERLINK("https://www.leilaoonline.net/lote/detalhe/270763", "TRATOR JOHN DEERE 7225J. - ANO 2016 - FR115695. - LOC. BONFIM ")</f>
      </c>
      <c r="C29" s="4" t="inlineStr">
        <is>
          <t>Vendido</t>
        </is>
      </c>
      <c r="D29" s="4" t="inlineStr">
        <is>
          <t>40</t>
        </is>
      </c>
      <c r="E29" s="5" t="inlineStr">
        <is>
          <t>124.000,00</t>
        </is>
      </c>
      <c r="F29" s="4" t="inlineStr">
        <is>
          <t>2000.00</t>
        </is>
      </c>
    </row>
    <row collapsed="false" customFormat="false" customHeight="false" hidden="false" ht="12.1" outlineLevel="0" r="30">
      <c r="A30" s="5" t="s">
        <f>=HYPERLINK("https://www.leilaoonline.net/lote/detalhe/269707", "1147")</f>
      </c>
      <c r="B30" s="4" t="s">
        <f>=HYPERLINK("https://www.leilaoonline.net/lote/detalhe/269707", "CARRETA TANQUE DE AÇO - FR19919 - LOC. PARAÍSO")</f>
      </c>
      <c r="C30" s="4" t="inlineStr">
        <is>
          <t>Vendido</t>
        </is>
      </c>
      <c r="D30" s="4" t="inlineStr">
        <is>
          <t>10</t>
        </is>
      </c>
      <c r="E30" s="5" t="inlineStr">
        <is>
          <t>11.500,00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=HYPERLINK("https://www.leilaoonline.net/lote/detalhe/269708", "1148")</f>
      </c>
      <c r="B31" s="4" t="s">
        <f>=HYPERLINK("https://www.leilaoonline.net/lote/detalhe/269708", "GRADE 24 DISCOS - FR19931 - LOC. PARAÍSO")</f>
      </c>
      <c r="C31" s="4" t="inlineStr">
        <is>
          <t>Vendido</t>
        </is>
      </c>
      <c r="D31" s="4" t="inlineStr">
        <is>
          <t>26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=HYPERLINK("https://www.leilaoonline.net/lote/detalhe/269709", "1149")</f>
      </c>
      <c r="B32" s="4" t="s">
        <f>=HYPERLINK("https://www.leilaoonline.net/lote/detalhe/269709", "GRADE 24 DISCOS - FR20303 - LOC. PARAÍSO")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27.000,00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=HYPERLINK("https://www.leilaoonline.net/lote/detalhe/269710", "1150")</f>
      </c>
      <c r="B33" s="4" t="s">
        <f>=HYPERLINK("https://www.leilaoonline.net/lote/detalhe/269710", "AGROMATÃO E ESTRUTURA DE IMPLEMENTO - FR20308 - LOC. PARAÍSO")</f>
      </c>
      <c r="C33" s="4" t="inlineStr">
        <is>
          <t>Vendido</t>
        </is>
      </c>
      <c r="D33" s="4" t="inlineStr">
        <is>
          <t>31</t>
        </is>
      </c>
      <c r="E33" s="5" t="inlineStr">
        <is>
          <t>8.000,00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=HYPERLINK("https://www.leilaoonline.net/lote/detalhe/269711", "1151")</f>
      </c>
      <c r="B34" s="4" t="s">
        <f>=HYPERLINK("https://www.leilaoonline.net/lote/detalhe/269711", "AQUECEDOR COM APROXIMADAMENTE 5 METROS - S/FR - LOC. PARAÍSO")</f>
      </c>
      <c r="C34" s="4" t="inlineStr">
        <is>
          <t>Vendido</t>
        </is>
      </c>
      <c r="D34" s="4" t="inlineStr">
        <is>
          <t>53</t>
        </is>
      </c>
      <c r="E34" s="5" t="inlineStr">
        <is>
          <t>24.700,00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=HYPERLINK("https://www.leilaoonline.net/lote/detalhe/269712", "1152")</f>
      </c>
      <c r="B35" s="4" t="s">
        <f>=HYPERLINK("https://www.leilaoonline.net/lote/detalhe/269712", "LOTE CONTENDO: 1 FOGÃO; 1 CAFETEIRA INDUSTRIAL, 2 NOBREAK, 5 PARTES AR CONDICIONADO, 1 PAINEL, 1 BEBEDOURO, 1 TV, 2 MACACO HIDRÁULICO, SUCATA DE EQUIP. DE LABORATÓRIO - S/FR - LOC. PARAÍSO")</f>
      </c>
      <c r="C35" s="4" t="inlineStr">
        <is>
          <t>Vendido</t>
        </is>
      </c>
      <c r="D35" s="4" t="inlineStr">
        <is>
          <t>6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=HYPERLINK("https://www.leilaoonline.net/lote/detalhe/269714", "1153")</f>
      </c>
      <c r="B36" s="4" t="s">
        <f>=HYPERLINK("https://www.leilaoonline.net/lote/detalhe/269714", "SUCATA DE TRATOR CASE PUMA 230 4X4 - ANO 2017 - FR163511 - LOC. SANTA CÂNDIDA")</f>
      </c>
      <c r="C36" s="4" t="inlineStr">
        <is>
          <t>Vendido</t>
        </is>
      </c>
      <c r="D36" s="4" t="inlineStr">
        <is>
          <t>17</t>
        </is>
      </c>
      <c r="E36" s="5" t="inlineStr">
        <is>
          <t>21.000,00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=HYPERLINK("https://www.leilaoonline.net/lote/detalhe/269716", "1154")</f>
      </c>
      <c r="B37" s="4" t="s">
        <f>=HYPERLINK("https://www.leilaoonline.net/lote/detalhe/269716", "TRATOR CASE 260 - ANO 2019 - FR20873 - LOC. SANTA CÂNDIDA")</f>
      </c>
      <c r="C37" s="4" t="inlineStr">
        <is>
          <t>Vendido</t>
        </is>
      </c>
      <c r="D37" s="4" t="inlineStr">
        <is>
          <t>3</t>
        </is>
      </c>
      <c r="E37" s="5" t="inlineStr">
        <is>
          <t>85.000,00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=HYPERLINK("https://www.leilaoonline.net/lote/detalhe/269723", "1155")</f>
      </c>
      <c r="B38" s="4" t="s">
        <f>=HYPERLINK("https://www.leilaoonline.net/lote/detalhe/269723", "CAMINHÃO VOLKSWAGEN 26.220 EURO3 WORKER, ANO 2010/2010, BRANCA - (CARRETA BAZUKA E MUNCK) - FR43022/42705/42446 - LOC. SANTA CÂNDIDA")</f>
      </c>
      <c r="C38" s="4" t="inlineStr">
        <is>
          <t>Vendido</t>
        </is>
      </c>
      <c r="D38" s="4" t="inlineStr">
        <is>
          <t>88</t>
        </is>
      </c>
      <c r="E38" s="5" t="inlineStr">
        <is>
          <t>155.000,00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=HYPERLINK("https://www.leilaoonline.net/lote/detalhe/269732", "1156")</f>
      </c>
      <c r="B39" s="4" t="s">
        <f>=HYPERLINK("https://www.leilaoonline.net/lote/detalhe/269732", "HILO/ GUINCHO - S/FR - (LOC. PORTO RIBEIRÃO/ DIAMANTE)")</f>
      </c>
      <c r="C39" s="4" t="inlineStr">
        <is>
          <t>Vendido</t>
        </is>
      </c>
      <c r="D39" s="4" t="inlineStr">
        <is>
          <t>13</t>
        </is>
      </c>
      <c r="E39" s="5" t="inlineStr">
        <is>
          <t>27.000,00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=HYPERLINK("https://www.leilaoonline.net/lote/detalhe/269735", "1157")</f>
      </c>
      <c r="B40" s="4" t="s">
        <f>=HYPERLINK("https://www.leilaoonline.net/lote/detalhe/269735", "BALANÇA RODOVIÁRIA, MEDINDO APROXIMADAMENTE 18X4 METROS COM CORRIMÃO E ESCADA - S/FR - (LOC. PORTO RIBEIRÃO/ DIAMANTE)")</f>
      </c>
      <c r="C40" s="4" t="inlineStr">
        <is>
          <t>Vendido</t>
        </is>
      </c>
      <c r="D40" s="4" t="inlineStr">
        <is>
          <t>13</t>
        </is>
      </c>
      <c r="E40" s="5" t="inlineStr">
        <is>
          <t>22.000,00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=HYPERLINK("https://www.leilaoonline.net/lote/detalhe/269739", "1159")</f>
      </c>
      <c r="B41" s="4" t="s">
        <f>=HYPERLINK("https://www.leilaoonline.net/lote/detalhe/269739", "TANQUE DE FIBRA COM BASE - S/FR - (LOC. PORTO RIBEIRÃO/ DIAMANTE)")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=HYPERLINK("https://www.leilaoonline.net/lote/detalhe/269740", "1160")</f>
      </c>
      <c r="B42" s="4" t="s">
        <f>=HYPERLINK("https://www.leilaoonline.net/lote/detalhe/269740", "SONDA OBLIQUA CODISTIL - PAT.085678/001036 - LOC. PORTO FLORESTA/ DIAMANTE)")</f>
      </c>
      <c r="C42" s="4" t="inlineStr">
        <is>
          <t>Vendido</t>
        </is>
      </c>
      <c r="D42" s="4" t="inlineStr">
        <is>
          <t>3</t>
        </is>
      </c>
      <c r="E42" s="5" t="inlineStr">
        <is>
          <t>12.000,00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=HYPERLINK("https://www.leilaoonline.net/lote/detalhe/269741", "1161")</f>
      </c>
      <c r="B43" s="4" t="s">
        <f>=HYPERLINK("https://www.leilaoonline.net/lote/detalhe/269741", "2 ESTUFAS, MEDINDO APROXIMADAMENTE A2 X L1,2 X C 2 METROS - PAT.316821 - LOC. PORTO FLORESTA/ DIAMANTE)")</f>
      </c>
      <c r="C43" s="4" t="inlineStr">
        <is>
          <t>Vendido</t>
        </is>
      </c>
      <c r="D43" s="4" t="inlineStr">
        <is>
          <t>8</t>
        </is>
      </c>
      <c r="E43" s="5" t="inlineStr">
        <is>
          <t>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=HYPERLINK("https://www.leilaoonline.net/lote/detalhe/269810", "1162")</f>
      </c>
      <c r="B44" s="4" t="s">
        <f>=HYPERLINK("https://www.leilaoonline.net/lote/detalhe/269810", "HILO/ GUINCHO COM PERIFERICO, TELHADO (TRELIÇA, TELHAS, PORTÃO, 3 TAMBORES, REDUTOR, PAINEL E BASE - APENAS ITENS DESCRITOS) - S/FR - LOC. PORTO FLORESTA/ DIAMANTE)")</f>
      </c>
      <c r="C44" s="4" t="inlineStr">
        <is>
          <t>Vendido</t>
        </is>
      </c>
      <c r="D44" s="4" t="inlineStr">
        <is>
          <t>2</t>
        </is>
      </c>
      <c r="E44" s="5" t="inlineStr">
        <is>
          <t>16.000,00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=HYPERLINK("https://www.leilaoonline.net/lote/detalhe/269866", "1163")</f>
      </c>
      <c r="B45" s="4" t="s">
        <f>=HYPERLINK("https://www.leilaoonline.net/lote/detalhe/269866", "SISTEMA DE CANA PICADA: HILO, CAIXOTE, ESTEIRA, ESCADA, CORRIMÃO (MOTORES/ REDUTORES E PAINEIS NÃO FAZEM PARTE DO LOTE) - S/FR - LOC. PORTO FLORESTA/ DIAMANTE)")</f>
      </c>
      <c r="C45" s="4" t="inlineStr">
        <is>
          <t>Vendido</t>
        </is>
      </c>
      <c r="D45" s="4" t="inlineStr">
        <is>
          <t>122</t>
        </is>
      </c>
      <c r="E45" s="5" t="inlineStr">
        <is>
          <t>317.500,00</t>
        </is>
      </c>
      <c r="F45" s="4" t="inlineStr">
        <is>
          <t>2500.00</t>
        </is>
      </c>
    </row>
    <row collapsed="false" customFormat="false" customHeight="false" hidden="false" ht="12.1" outlineLevel="0" r="46">
      <c r="A46" s="5" t="s">
        <f>=HYPERLINK("https://www.leilaoonline.net/lote/detalhe/269870", "1164")</f>
      </c>
      <c r="B46" s="4" t="s">
        <f>=HYPERLINK("https://www.leilaoonline.net/lote/detalhe/269870", "BALANÇA RODOVIÁRIA, MEDINDO APROXIMADAMENTE 20X4 METROS COM CORRIMÃO E ESCADAS LATEIRAIS EM AÇO L 1,70 - S/FR - LOC. PORTO FLORESTA/ DIAMANTE)")</f>
      </c>
      <c r="C46" s="4" t="inlineStr">
        <is>
          <t>Vendido</t>
        </is>
      </c>
      <c r="D46" s="4" t="inlineStr">
        <is>
          <t>7</t>
        </is>
      </c>
      <c r="E46" s="5" t="inlineStr">
        <is>
          <t>16.000,00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=HYPERLINK("https://www.leilaoonline.net/lote/detalhe/269877", "1166")</f>
      </c>
      <c r="B47" s="4" t="s">
        <f>=HYPERLINK("https://www.leilaoonline.net/lote/detalhe/269877", "3 CAIXAS D'ÁGUA - S/FR  - LOC. PORTO FLORESTA/ DIAMANTE)")</f>
      </c>
      <c r="C47" s="4" t="inlineStr">
        <is>
          <t>Vendido</t>
        </is>
      </c>
      <c r="D47" s="4" t="inlineStr">
        <is>
          <t>4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=HYPERLINK("https://www.leilaoonline.net/lote/detalhe/269915", "1167")</f>
      </c>
      <c r="B48" s="4" t="s">
        <f>=HYPERLINK("https://www.leilaoonline.net/lote/detalhe/269915", "LOTE CONTENDO: 1 ENGRENAGEM, 2 REDUTORES, 4 MOTORES ELÉTRICOS, 1 SISTEMA DE FREIO, 23 PEÇAS DE ANDAIMES E GUARDA CORPO - S/FR - LOC. DIAMANTE")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11.500,00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=HYPERLINK("https://www.leilaoonline.net/lote/detalhe/269942", "1168")</f>
      </c>
      <c r="B49" s="4" t="s">
        <f>=HYPERLINK("https://www.leilaoonline.net/lote/detalhe/269942", "1 REVERSOR - S/FR - LOC. DIAMANTE")</f>
      </c>
      <c r="C49" s="4" t="inlineStr">
        <is>
          <t>Vendido</t>
        </is>
      </c>
      <c r="D49" s="4" t="inlineStr">
        <is>
          <t>50</t>
        </is>
      </c>
      <c r="E49" s="5" t="inlineStr">
        <is>
          <t>19.500,00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=HYPERLINK("https://www.leilaoonline.net/lote/detalhe/269944", "1170")</f>
      </c>
      <c r="B50" s="4" t="s">
        <f>=HYPERLINK("https://www.leilaoonline.net/lote/detalhe/269944", "14 HELICES (MATERIAL ESPECIAL) - S/FR - LOC. DIAMANTE")</f>
      </c>
      <c r="C50" s="4" t="inlineStr">
        <is>
          <t>Vendido</t>
        </is>
      </c>
      <c r="D50" s="4" t="inlineStr">
        <is>
          <t>63</t>
        </is>
      </c>
      <c r="E50" s="5" t="inlineStr">
        <is>
          <t>29.750,00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=HYPERLINK("https://www.leilaoonline.net/lote/detalhe/269946", "1171")</f>
      </c>
      <c r="B51" s="4" t="s">
        <f>=HYPERLINK("https://www.leilaoonline.net/lote/detalhe/269946", "4 HELICES SEM USO (MATERIAL ESPECIAL) - S/FR. - LOC. DIAMANTE")</f>
      </c>
      <c r="C51" s="4" t="inlineStr">
        <is>
          <t>Vendido</t>
        </is>
      </c>
      <c r="D51" s="4" t="inlineStr">
        <is>
          <t>95</t>
        </is>
      </c>
      <c r="E51" s="5" t="inlineStr">
        <is>
          <t>34.800,00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=HYPERLINK("https://www.leilaoonline.net/lote/detalhe/269955", "1172")</f>
      </c>
      <c r="B52" s="4" t="s">
        <f>=HYPERLINK("https://www.leilaoonline.net/lote/detalhe/269955", "EMPURRADOR II - LOC. DIAMANTE")</f>
      </c>
      <c r="C52" s="4" t="inlineStr">
        <is>
          <t>Vendido</t>
        </is>
      </c>
      <c r="D52" s="4" t="inlineStr">
        <is>
          <t>39</t>
        </is>
      </c>
      <c r="E52" s="5" t="inlineStr">
        <is>
          <t>580.000,00</t>
        </is>
      </c>
      <c r="F52" s="4" t="inlineStr">
        <is>
          <t>10000.00</t>
        </is>
      </c>
    </row>
    <row collapsed="false" customFormat="false" customHeight="false" hidden="false" ht="12.1" outlineLevel="0" r="53">
      <c r="A53" s="5" t="s">
        <f>=HYPERLINK("https://www.leilaoonline.net/lote/detalhe/269956", "1173")</f>
      </c>
      <c r="B53" s="4" t="s">
        <f>=HYPERLINK("https://www.leilaoonline.net/lote/detalhe/269956", "EMPURRADOR VII - LOC. DIAMANTE")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370.000,00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=HYPERLINK("https://www.leilaoonline.net/lote/detalhe/269957", "1174")</f>
      </c>
      <c r="B54" s="4" t="s">
        <f>=HYPERLINK("https://www.leilaoonline.net/lote/detalhe/269957", "EMPURRADOR VI - LOC. DIAMANTE")</f>
      </c>
      <c r="C54" s="4" t="inlineStr">
        <is>
          <t>Não vendido</t>
        </is>
      </c>
      <c r="D54" s="4" t="inlineStr">
        <is>
          <t>32</t>
        </is>
      </c>
      <c r="E54" s="5" t="inlineStr">
        <is>
          <t>410.000,00</t>
        </is>
      </c>
      <c r="F54" s="4" t="inlineStr">
        <is>
          <t>10000.00</t>
        </is>
      </c>
    </row>
    <row collapsed="false" customFormat="false" customHeight="false" hidden="false" ht="12.1" outlineLevel="0" r="55">
      <c r="A55" s="5" t="s">
        <f>=HYPERLINK("https://www.leilaoonline.net/lote/detalhe/269958", "1175")</f>
      </c>
      <c r="B55" s="4" t="s">
        <f>=HYPERLINK("https://www.leilaoonline.net/lote/detalhe/269958", "BARCAÇA BELA VISTA I - FR70156 - LOC. DIAMANTE")</f>
      </c>
      <c r="C55" s="4" t="inlineStr">
        <is>
          <t>Vendido</t>
        </is>
      </c>
      <c r="D55" s="4" t="inlineStr">
        <is>
          <t>8</t>
        </is>
      </c>
      <c r="E55" s="5" t="inlineStr">
        <is>
          <t>200.000,00</t>
        </is>
      </c>
      <c r="F55" s="4" t="inlineStr">
        <is>
          <t>10000.00</t>
        </is>
      </c>
    </row>
    <row collapsed="false" customFormat="false" customHeight="false" hidden="false" ht="12.1" outlineLevel="0" r="56">
      <c r="A56" s="5" t="s">
        <f>=HYPERLINK("https://www.leilaoonline.net/lote/detalhe/269959", "1176")</f>
      </c>
      <c r="B56" s="4" t="s">
        <f>=HYPERLINK("https://www.leilaoonline.net/lote/detalhe/269959", "BARCAÇA ÁGUA SANTA - FR70162 - LOC. DIAMANTE")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120.000,00</t>
        </is>
      </c>
      <c r="F56" s="4" t="inlineStr">
        <is>
          <t>10000.00</t>
        </is>
      </c>
    </row>
    <row collapsed="false" customFormat="false" customHeight="false" hidden="false" ht="12.1" outlineLevel="0" r="57">
      <c r="A57" s="5" t="s">
        <f>=HYPERLINK("https://www.leilaoonline.net/lote/detalhe/269960", "1177")</f>
      </c>
      <c r="B57" s="4" t="s">
        <f>=HYPERLINK("https://www.leilaoonline.net/lote/detalhe/269960", "BARCAÇA SÃO JOSÉ - FR70073 - LOC. DIAMANTE")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100.000,00</t>
        </is>
      </c>
      <c r="F57" s="4" t="inlineStr">
        <is>
          <t>10000.00</t>
        </is>
      </c>
    </row>
    <row collapsed="false" customFormat="false" customHeight="false" hidden="false" ht="12.1" outlineLevel="0" r="58">
      <c r="A58" s="5" t="s">
        <f>=HYPERLINK("https://www.leilaoonline.net/lote/detalhe/269961", "1178")</f>
      </c>
      <c r="B58" s="4" t="s">
        <f>=HYPERLINK("https://www.leilaoonline.net/lote/detalhe/269961", "BARCAÇA PAU PRETO - FR70106 - LOC. DIAMANTE")</f>
      </c>
      <c r="C58" s="4" t="inlineStr">
        <is>
          <t>Vendido</t>
        </is>
      </c>
      <c r="D58" s="4" t="inlineStr">
        <is>
          <t>10</t>
        </is>
      </c>
      <c r="E58" s="5" t="inlineStr">
        <is>
          <t>200.000,00</t>
        </is>
      </c>
      <c r="F58" s="4" t="inlineStr">
        <is>
          <t>10000.00</t>
        </is>
      </c>
    </row>
    <row collapsed="false" customFormat="false" customHeight="false" hidden="false" ht="12.1" outlineLevel="0" r="59">
      <c r="A59" s="5" t="s">
        <f>=HYPERLINK("https://www.leilaoonline.net/lote/detalhe/269962", "1179")</f>
      </c>
      <c r="B59" s="4" t="s">
        <f>=HYPERLINK("https://www.leilaoonline.net/lote/detalhe/269962", "REBOQUE FACCHINI RFPTT;  ANO 1992/1992;  AZUL. - FR96520 - LOC. DIAMANTE")</f>
      </c>
      <c r="C59" s="4" t="inlineStr">
        <is>
          <t>Vendido</t>
        </is>
      </c>
      <c r="D59" s="4" t="inlineStr">
        <is>
          <t>3</t>
        </is>
      </c>
      <c r="E59" s="5" t="inlineStr">
        <is>
          <t>12.000,00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=HYPERLINK("https://www.leilaoonline.net/lote/detalhe/269963", "1180")</f>
      </c>
      <c r="B60" s="4" t="s">
        <f>=HYPERLINK("https://www.leilaoonline.net/lote/detalhe/269963", "REBOQUE FNV - FRUEHAUF RCR; ANO 1992/1992; AZUL. - FR96006 - LOC. DIAMANTE")</f>
      </c>
      <c r="C60" s="4" t="inlineStr">
        <is>
          <t>Vendido</t>
        </is>
      </c>
      <c r="D60" s="4" t="inlineStr">
        <is>
          <t>6</t>
        </is>
      </c>
      <c r="E60" s="5" t="inlineStr">
        <is>
          <t>15.000,00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=HYPERLINK("https://www.leilaoonline.net/lote/detalhe/270032", "1182")</f>
      </c>
      <c r="B61" s="4" t="s">
        <f>=HYPERLINK("https://www.leilaoonline.net/lote/detalhe/270032", "REBOQUE SOUFER CA 2E; ANO 2012/2012; CINZA;(TRANSBORDO). - FR22900. - LOC. DIAMANTE")</f>
      </c>
      <c r="C61" s="4" t="inlineStr">
        <is>
          <t>Vendido</t>
        </is>
      </c>
      <c r="D61" s="4" t="inlineStr">
        <is>
          <t>30</t>
        </is>
      </c>
      <c r="E61" s="5" t="inlineStr">
        <is>
          <t>39.000,00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=HYPERLINK("https://www.leilaoonline.net/lote/detalhe/270033", "1183")</f>
      </c>
      <c r="B62" s="4" t="s">
        <f>=HYPERLINK("https://www.leilaoonline.net/lote/detalhe/270033", "REBOQUE FACCHINI RF CA; ANO 2007/2007; CINZA;(TRANSBORDO). - FR17380/98847. - LOC. DIAMANTE ")</f>
      </c>
      <c r="C62" s="4" t="inlineStr">
        <is>
          <t>Não vendido</t>
        </is>
      </c>
      <c r="D62" s="4" t="inlineStr">
        <is>
          <t>28</t>
        </is>
      </c>
      <c r="E62" s="5" t="inlineStr">
        <is>
          <t>37.000,00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=HYPERLINK("https://www.leilaoonline.net/lote/detalhe/270034", "1184")</f>
      </c>
      <c r="B63" s="4" t="s">
        <f>=HYPERLINK("https://www.leilaoonline.net/lote/detalhe/270034", "REBOQUE TANQUE FIBRA; (VENDA SEM DOCUMENTAÇÃO). - FR96003. - LOC.DIAMANTE ")</f>
      </c>
      <c r="C63" s="4" t="inlineStr">
        <is>
          <t>Não vendido</t>
        </is>
      </c>
      <c r="D63" s="4" t="inlineStr">
        <is>
          <t>27</t>
        </is>
      </c>
      <c r="E63" s="5" t="inlineStr">
        <is>
          <t>18.300,00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=HYPERLINK("https://www.leilaoonline.net/lote/detalhe/270035", "1185")</f>
      </c>
      <c r="B64" s="4" t="s">
        <f>=HYPERLINK("https://www.leilaoonline.net/lote/detalhe/270035", "TRATOR VALTRA BH 210; ANO 2014. - FR100735. - LOC. DIAMANTE")</f>
      </c>
      <c r="C64" s="4" t="inlineStr">
        <is>
          <t>Não vendido</t>
        </is>
      </c>
      <c r="D64" s="4" t="inlineStr">
        <is>
          <t>37</t>
        </is>
      </c>
      <c r="E64" s="5" t="inlineStr">
        <is>
          <t>122.000,00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=HYPERLINK("https://www.leilaoonline.net/lote/detalhe/270036", "1186")</f>
      </c>
      <c r="B65" s="4" t="s">
        <f>=HYPERLINK("https://www.leilaoonline.net/lote/detalhe/270036", "TRANSBORDO CIVEMASA 10 T - ANO 2009 - FR1003030. - LOC. DIAMANTE 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16.000,00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=HYPERLINK("https://www.leilaoonline.net/lote/detalhe/270037", "1187")</f>
      </c>
      <c r="B66" s="4" t="s">
        <f>=HYPERLINK("https://www.leilaoonline.net/lote/detalhe/270037", "SEMI REBOQUE SOUFER CFE 2E; ANO 2011/2012; CINZA; (ÁREA DE VIVÊNCIA). - FR103985. - LOC. DIAMANTE 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19.000,00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=HYPERLINK("https://www.leilaoonline.net/lote/detalhe/270038", "1188")</f>
      </c>
      <c r="B67" s="4" t="s">
        <f>=HYPERLINK("https://www.leilaoonline.net/lote/detalhe/270038", "SEMI REBOQUE SOUFER CFE 2E; ANO 2012/2012; CINZA;( ÀREA DE VIVÊNCIA). - FR103329. - LOC. DIAMANTE ")</f>
      </c>
      <c r="C67" s="4" t="inlineStr">
        <is>
          <t>Vendido</t>
        </is>
      </c>
      <c r="D67" s="4" t="inlineStr">
        <is>
          <t>20</t>
        </is>
      </c>
      <c r="E67" s="5" t="inlineStr">
        <is>
          <t>20.000,00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=HYPERLINK("https://www.leilaoonline.net/lote/detalhe/270039", "1189")</f>
      </c>
      <c r="B68" s="4" t="s">
        <f>=HYPERLINK("https://www.leilaoonline.net/lote/detalhe/270039", "CAIXA CIVEMASA STAC 500. - S/FR. - LOC. DIAMANTE 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=HYPERLINK("https://www.leilaoonline.net/lote/detalhe/270040", "1190")</f>
      </c>
      <c r="B69" s="4" t="s">
        <f>=HYPERLINK("https://www.leilaoonline.net/lote/detalhe/270040", "ENXADA ROTATIVA. - FR134076. - LOC. DIAMANTE ")</f>
      </c>
      <c r="C69" s="4" t="inlineStr">
        <is>
          <t>Vendido</t>
        </is>
      </c>
      <c r="D69" s="4" t="inlineStr">
        <is>
          <t>3</t>
        </is>
      </c>
      <c r="E69" s="5" t="inlineStr">
        <is>
          <t>1.400,00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=HYPERLINK("https://www.leilaoonline.net/lote/detalhe/270041", "1191")</f>
      </c>
      <c r="B70" s="4" t="s">
        <f>=HYPERLINK("https://www.leilaoonline.net/lote/detalhe/270041", "CAIXA CIVEMASA STAC 500. - S/FR. - LOC. DIAMANTE 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=HYPERLINK("https://www.leilaoonline.net/lote/detalhe/270042", "1192")</f>
      </c>
      <c r="B71" s="4" t="s">
        <f>=HYPERLINK("https://www.leilaoonline.net/lote/detalhe/270042", "CAIXA CIVEMASA STAC 500. - S/FR. - LOC. DIAMANTE  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=HYPERLINK("https://www.leilaoonline.net/lote/detalhe/270043", "1193")</f>
      </c>
      <c r="B72" s="4" t="s">
        <f>=HYPERLINK("https://www.leilaoonline.net/lote/detalhe/270043", "IMPLEMENTO DMB. - FR103873 . - LOC. DIAMANTE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=HYPERLINK("https://www.leilaoonline.net/lote/detalhe/270044", "1194")</f>
      </c>
      <c r="B73" s="4" t="s">
        <f>=HYPERLINK("https://www.leilaoonline.net/lote/detalhe/270044", "GRADE 10 DISCOS. - FR4445182. - LOC. DIAMANTE 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=HYPERLINK("https://www.leilaoonline.net/lote/detalhe/270045", "1195")</f>
      </c>
      <c r="B74" s="4" t="s">
        <f>=HYPERLINK("https://www.leilaoonline.net/lote/detalhe/270045", "GRADE 17 DISCOS. - FR71364. - LOC. DIAMANTE ")</f>
      </c>
      <c r="C74" s="4" t="inlineStr">
        <is>
          <t>Vendido</t>
        </is>
      </c>
      <c r="D74" s="4" t="inlineStr">
        <is>
          <t>35</t>
        </is>
      </c>
      <c r="E74" s="5" t="inlineStr">
        <is>
          <t>20.000,00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=HYPERLINK("https://www.leilaoonline.net/lote/detalhe/269965", "1196")</f>
      </c>
      <c r="B75" s="4" t="s">
        <f>=HYPERLINK("https://www.leilaoonline.net/lote/detalhe/269965", "GRADE 13 DISCOS. - S/FR. - LOC. DIAMANTE ")</f>
      </c>
      <c r="C75" s="4" t="inlineStr">
        <is>
          <t>Vendido</t>
        </is>
      </c>
      <c r="D75" s="4" t="inlineStr">
        <is>
          <t>7</t>
        </is>
      </c>
      <c r="E75" s="5" t="inlineStr">
        <is>
          <t>9.500,00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=HYPERLINK("https://www.leilaoonline.net/lote/detalhe/269966", "1197")</f>
      </c>
      <c r="B76" s="4" t="s">
        <f>=HYPERLINK("https://www.leilaoonline.net/lote/detalhe/269966", "06 GRADES E DISCOS. - FR74256/103892/74005/74006/4256/74255/74256. - LOC. DIAMANTE ")</f>
      </c>
      <c r="C76" s="4" t="inlineStr">
        <is>
          <t>Vendido</t>
        </is>
      </c>
      <c r="D76" s="4" t="inlineStr">
        <is>
          <t>46</t>
        </is>
      </c>
      <c r="E76" s="5" t="inlineStr">
        <is>
          <t>86.000,00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=HYPERLINK("https://www.leilaoonline.net/lote/detalhe/269967", "1198")</f>
      </c>
      <c r="B77" s="4" t="s">
        <f>=HYPERLINK("https://www.leilaoonline.net/lote/detalhe/269967", "GRADE 40 DISCOS. - FR103203. - LOC. DIAMANTE 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1.250,00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=HYPERLINK("https://www.leilaoonline.net/lote/detalhe/269968", "1199")</f>
      </c>
      <c r="B78" s="4" t="s">
        <f>=HYPERLINK("https://www.leilaoonline.net/lote/detalhe/269968", "ESTRUTURA DE GRADE; ESTRUTURA DE IMPLEMENTO. -  FR74224. - LOC. DIAMANTE  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=HYPERLINK("https://www.leilaoonline.net/lote/detalhe/269722", "1202")</f>
      </c>
      <c r="B79" s="4" t="s">
        <f>=HYPERLINK("https://www.leilaoonline.net/lote/detalhe/269722", "CULTIVADOR COMB. CANA DRIA; ANO 2005. - FR57227. - LOC. COSTA PINTO ")</f>
      </c>
      <c r="C79" s="4" t="inlineStr">
        <is>
          <t>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=HYPERLINK("https://www.leilaoonline.net/lote/detalhe/269706", "1209")</f>
      </c>
      <c r="B80" s="4" t="s">
        <f>=HYPERLINK("https://www.leilaoonline.net/lote/detalhe/269706", "ENXADA ROTATIVA UNIVERSAL; ANO 2014. - FR140024. - LOC. BOM RETIRO ")</f>
      </c>
      <c r="C80" s="4" t="inlineStr">
        <is>
          <t>Vendido</t>
        </is>
      </c>
      <c r="D80" s="4" t="inlineStr">
        <is>
          <t>1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=HYPERLINK("https://www.leilaoonline.net/lote/detalhe/269717", "1210")</f>
      </c>
      <c r="B81" s="4" t="s">
        <f>=HYPERLINK("https://www.leilaoonline.net/lote/detalhe/269717", "05 DESENLEIRADORES DE PALHA CARDEOLI; ANO 2018. - FR38079/38080/38081/67192/67193. - LOC. BOM RETIRO ")</f>
      </c>
      <c r="C81" s="4" t="inlineStr">
        <is>
          <t>Vendido</t>
        </is>
      </c>
      <c r="D81" s="4" t="inlineStr">
        <is>
          <t>1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=HYPERLINK("https://www.leilaoonline.net/lote/detalhe/269713", "1211")</f>
      </c>
      <c r="B82" s="4" t="s">
        <f>=HYPERLINK("https://www.leilaoonline.net/lote/detalhe/269713", "SISTEMA  ABASTECIMENTO BAZUCA MIX 12.0 STD SOLLUS; ANO 2014 . - FR140600. - LOC. BOM RETIRO ")</f>
      </c>
      <c r="C82" s="4" t="inlineStr">
        <is>
          <t>Vendido</t>
        </is>
      </c>
      <c r="D82" s="4" t="inlineStr">
        <is>
          <t>6</t>
        </is>
      </c>
      <c r="E82" s="5" t="inlineStr">
        <is>
          <t>3.250,00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=HYPERLINK("https://www.leilaoonline.net/lote/detalhe/269719", "1212")</f>
      </c>
      <c r="B83" s="4" t="s">
        <f>=HYPERLINK("https://www.leilaoonline.net/lote/detalhe/269719", "ELIMINADOR DE SOQUEIRA AGRO MATÃO; ANO 2019. - FR57434.- LOC. BOM RETIRO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=HYPERLINK("https://www.leilaoonline.net/lote/detalhe/269715", "1213")</f>
      </c>
      <c r="B84" s="4" t="s">
        <f>=HYPERLINK("https://www.leilaoonline.net/lote/detalhe/269715", "ELIMINADOR DE SOQUEIRA AGRO MATÃO; ANO 2019. - FR25281.- LOC. BOM RETIRO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=HYPERLINK("https://www.leilaoonline.net/lote/detalhe/269868", "1215")</f>
      </c>
      <c r="B85" s="4" t="s">
        <f>=HYPERLINK("https://www.leilaoonline.net/lote/detalhe/269868", "REBOQUE USICAMP RBT E1E17000; ANO 2012/2012; VERDE; (VENDA SEM DOCUMENTAÇÃO). - FR7804061. - LOC. LEME")</f>
      </c>
      <c r="C85" s="4" t="inlineStr">
        <is>
          <t>Vendido</t>
        </is>
      </c>
      <c r="D85" s="4" t="inlineStr">
        <is>
          <t>14</t>
        </is>
      </c>
      <c r="E85" s="5" t="inlineStr">
        <is>
          <t>31.000,00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=HYPERLINK("https://www.leilaoonline.net/lote/detalhe/269737", "1217")</f>
      </c>
      <c r="B86" s="4" t="s">
        <f>=HYPERLINK("https://www.leilaoonline.net/lote/detalhe/269737", "SUBSOLADOR ARADO STARA; ANO 2012.  - FR7003091. - LOC. LEME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=HYPERLINK("https://www.leilaoonline.net/lote/detalhe/269874", "1218")</f>
      </c>
      <c r="B87" s="4" t="s">
        <f>=HYPERLINK("https://www.leilaoonline.net/lote/detalhe/269874", "APLICADOR INSETICIDA DMB; ANO 2015 . - FR103936. - LOC. LEME")</f>
      </c>
      <c r="C87" s="4" t="inlineStr">
        <is>
          <t>Vendido</t>
        </is>
      </c>
      <c r="D87" s="4" t="inlineStr">
        <is>
          <t>25</t>
        </is>
      </c>
      <c r="E87" s="5" t="inlineStr">
        <is>
          <t>7.000,00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=HYPERLINK("https://www.leilaoonline.net/lote/detalhe/269948", "1219")</f>
      </c>
      <c r="B88" s="4" t="s">
        <f>=HYPERLINK("https://www.leilaoonline.net/lote/detalhe/269948", "IMPLEMENTO DMB. - S/FR. - LOC. LEME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=HYPERLINK("https://www.leilaoonline.net/lote/detalhe/269945", "1220")</f>
      </c>
      <c r="B89" s="4" t="s">
        <f>=HYPERLINK("https://www.leilaoonline.net/lote/detalhe/269945", "01 MOTOR; 01 BOMBA. - S/FR. - LOC. LEME ")</f>
      </c>
      <c r="C89" s="4" t="inlineStr">
        <is>
          <t>Vendido</t>
        </is>
      </c>
      <c r="D89" s="4" t="inlineStr">
        <is>
          <t>21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=HYPERLINK("https://www.leilaoonline.net/lote/detalhe/269949", "1221")</f>
      </c>
      <c r="B90" s="4" t="s">
        <f>=HYPERLINK("https://www.leilaoonline.net/lote/detalhe/269949", "IMPLEMENTO DMB. - S/FR. - LOC. LEME 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=HYPERLINK("https://www.leilaoonline.net/lote/detalhe/269731", "1223")</f>
      </c>
      <c r="B91" s="4" t="s">
        <f>=HYPERLINK("https://www.leilaoonline.net/lote/detalhe/269731", "REBOQUE SERNAUTO 001; ANO 2011/2011; AZUL. - FR7004034. - LOC. LEME")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5.500,00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=HYPERLINK("https://www.leilaoonline.net/lote/detalhe/269733", "1224")</f>
      </c>
      <c r="B92" s="4" t="s">
        <f>=HYPERLINK("https://www.leilaoonline.net/lote/detalhe/269733", "CARRETINHA ÁREA DE VIVÊNCIA . - S/FR. - LOC. LEME")</f>
      </c>
      <c r="C92" s="4" t="inlineStr">
        <is>
          <t>Não vendido</t>
        </is>
      </c>
      <c r="D92" s="4" t="inlineStr">
        <is>
          <t>23</t>
        </is>
      </c>
      <c r="E92" s="5" t="inlineStr">
        <is>
          <t>7.200,00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=HYPERLINK("https://www.leilaoonline.net/lote/detalhe/269734", "1225")</f>
      </c>
      <c r="B93" s="4" t="s">
        <f>=HYPERLINK("https://www.leilaoonline.net/lote/detalhe/269734", "CHASSI DE GRADE; ANO 2011. - S/FR. - LOC. LEME ")</f>
      </c>
      <c r="C93" s="4" t="inlineStr">
        <is>
          <t>Vendido</t>
        </is>
      </c>
      <c r="D93" s="4" t="inlineStr">
        <is>
          <t>1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=HYPERLINK("https://www.leilaoonline.net/lote/detalhe/269736", "1226")</f>
      </c>
      <c r="B94" s="4" t="s">
        <f>=HYPERLINK("https://www.leilaoonline.net/lote/detalhe/269736", "SUBSOLADOR ARADO STARA; ANO 2010. - FR7003078. - LOC. LEME ")</f>
      </c>
      <c r="C94" s="4" t="inlineStr">
        <is>
          <t>Não vendido</t>
        </is>
      </c>
      <c r="D94" s="4" t="inlineStr">
        <is>
          <t>3</t>
        </is>
      </c>
      <c r="E94" s="5" t="inlineStr">
        <is>
          <t>5.250,00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=HYPERLINK("https://www.leilaoonline.net/lote/detalhe/269880", "1227")</f>
      </c>
      <c r="B95" s="4" t="s">
        <f>=HYPERLINK("https://www.leilaoonline.net/lote/detalhe/269880", "CHASSI DE HIDROROLL; ANO 2023. - FR484244. - LOC. LEME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=HYPERLINK("https://www.leilaoonline.net/lote/detalhe/269921", "1228")</f>
      </c>
      <c r="B96" s="4" t="s">
        <f>=HYPERLINK("https://www.leilaoonline.net/lote/detalhe/269921", "CHASSI DE HIDROROLL; ANO 2023. - FR484245. - LOC. LEME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=HYPERLINK("https://www.leilaoonline.net/lote/detalhe/270017", "1229")</f>
      </c>
      <c r="B97" s="4" t="s">
        <f>=HYPERLINK("https://www.leilaoonline.net/lote/detalhe/270017", "SUCATA SEMI REBOQUE; (VENDA SEM DOCUMENTAÇÃO). - FR9004685. - LOC. LEME")</f>
      </c>
      <c r="C97" s="4" t="inlineStr">
        <is>
          <t>Não vendido</t>
        </is>
      </c>
      <c r="D97" s="4" t="inlineStr">
        <is>
          <t>12</t>
        </is>
      </c>
      <c r="E97" s="5" t="inlineStr">
        <is>
          <t>25.500,00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=HYPERLINK("https://www.leilaoonline.net/lote/detalhe/270018", "1230")</f>
      </c>
      <c r="B98" s="4" t="s">
        <f>=HYPERLINK("https://www.leilaoonline.net/lote/detalhe/270018", "SUCATA DE REBOQUE; (VENDA SEM DOCUMENTAÇÃO). - FR9004722. - LOC. LEME ")</f>
      </c>
      <c r="C98" s="4" t="inlineStr">
        <is>
          <t>Não vendido</t>
        </is>
      </c>
      <c r="D98" s="4" t="inlineStr">
        <is>
          <t>21</t>
        </is>
      </c>
      <c r="E98" s="5" t="inlineStr">
        <is>
          <t>33.000,00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=HYPERLINK("https://www.leilaoonline.net/lote/detalhe/269878", "1231")</f>
      </c>
      <c r="B99" s="4" t="s">
        <f>=HYPERLINK("https://www.leilaoonline.net/lote/detalhe/269878", "PLANTADORA CANA AUTOMÁTICA DMB; ANO 2010. - FR122311. - LOC. LEME ")</f>
      </c>
      <c r="C99" s="4" t="inlineStr">
        <is>
          <t>Vendido</t>
        </is>
      </c>
      <c r="D99" s="4" t="inlineStr">
        <is>
          <t>3</t>
        </is>
      </c>
      <c r="E99" s="5" t="inlineStr">
        <is>
          <t>12.000,00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=HYPERLINK("https://www.leilaoonline.net/lote/detalhe/269730", "1232")</f>
      </c>
      <c r="B100" s="4" t="s">
        <f>=HYPERLINK("https://www.leilaoonline.net/lote/detalhe/269730", "SEMI REBOQUE FACCHINI SRF BT; ANO 2006/2006; CINZA. - FR7044077. - LOC. LEME")</f>
      </c>
      <c r="C100" s="4" t="inlineStr">
        <is>
          <t>Vendido</t>
        </is>
      </c>
      <c r="D100" s="4" t="inlineStr">
        <is>
          <t>34</t>
        </is>
      </c>
      <c r="E100" s="5" t="inlineStr">
        <is>
          <t>56.000,00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=HYPERLINK("https://www.leilaoonline.net/lote/detalhe/269729", "1233")</f>
      </c>
      <c r="B101" s="4" t="s">
        <f>=HYPERLINK("https://www.leilaoonline.net/lote/detalhe/269729", "SEMI REBOQUE COM DOLLY FACCHINI SRF BT; ANO 2006/2006; CINZA; (REMARCAÇÃO DO CHASSI POR CONTA DO COMPRADOR). - FR7044179/ FR7044076 - LOC. LEME 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56.000,00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=HYPERLINK("https://www.leilaoonline.net/lote/detalhe/270310", "1235")</f>
      </c>
      <c r="B102" s="4" t="s">
        <f>=HYPERLINK("https://www.leilaoonline.net/lote/detalhe/270310", "VASO DE PRESSÃO NC. - S/FR. - LOC.MB")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=HYPERLINK("https://www.leilaoonline.net/lote/detalhe/270311", "1236")</f>
      </c>
      <c r="B103" s="4" t="s">
        <f>=HYPERLINK("https://www.leilaoonline.net/lote/detalhe/270311", "02 PORTAS BLINDEX. - S/FR. - LOC. MB")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=HYPERLINK("https://www.leilaoonline.net/lote/detalhe/270312", "1237")</f>
      </c>
      <c r="B104" s="4" t="s">
        <f>=HYPERLINK("https://www.leilaoonline.net/lote/detalhe/270312", "APROX. 20 EQUIPAMENTOS SUCATA DE ELETRÔNICOS. - S/FR. - LOC.MB")</f>
      </c>
      <c r="C104" s="4" t="inlineStr">
        <is>
          <t>Vendido</t>
        </is>
      </c>
      <c r="D104" s="4" t="inlineStr">
        <is>
          <t>217</t>
        </is>
      </c>
      <c r="E104" s="5" t="inlineStr">
        <is>
          <t>72.650,00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=HYPERLINK("https://www.leilaoonline.net/lote/detalhe/270313", "1238")</f>
      </c>
      <c r="B105" s="4" t="s">
        <f>=HYPERLINK("https://www.leilaoonline.net/lote/detalhe/270313", "04 BOTIJÕES VAZIOS DE GÁS VAZIO, 01 BOTIJÃO CHEIO. - S/FR. -  LOC. MB")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=HYPERLINK("https://www.leilaoonline.net/lote/detalhe/270314", "1239")</f>
      </c>
      <c r="B106" s="4" t="s">
        <f>=HYPERLINK("https://www.leilaoonline.net/lote/detalhe/270314", "MOTOBOMBA . - FR13005029. - LOC.MB")</f>
      </c>
      <c r="C106" s="4" t="inlineStr">
        <is>
          <t>Vendido</t>
        </is>
      </c>
      <c r="D106" s="4" t="inlineStr">
        <is>
          <t>42</t>
        </is>
      </c>
      <c r="E106" s="5" t="inlineStr">
        <is>
          <t>25.500,00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=HYPERLINK("https://www.leilaoonline.net/lote/detalhe/270317", "1242")</f>
      </c>
      <c r="B107" s="4" t="s">
        <f>=HYPERLINK("https://www.leilaoonline.net/lote/detalhe/270317", "ÁREA DE VIVÊNCIA. - 13004197. - LOC.MB")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5.250,00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=HYPERLINK("https://www.leilaoonline.net/lote/detalhe/270318", "1243")</f>
      </c>
      <c r="B108" s="4" t="s">
        <f>=HYPERLINK("https://www.leilaoonline.net/lote/detalhe/270318", "COLHEDORA CASE A 8810 -  ANO 2019 - FR13002091. - LOC. MB")</f>
      </c>
      <c r="C108" s="4" t="inlineStr">
        <is>
          <t>Não vendido</t>
        </is>
      </c>
      <c r="D108" s="4" t="inlineStr">
        <is>
          <t>24</t>
        </is>
      </c>
      <c r="E108" s="5" t="inlineStr">
        <is>
          <t>38.000,00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=HYPERLINK("https://www.leilaoonline.net/lote/detalhe/270319", "1244")</f>
      </c>
      <c r="B109" s="4" t="s">
        <f>=HYPERLINK("https://www.leilaoonline.net/lote/detalhe/270319", "IMPLEMENTO CIVEMASA. - FR11003367. - LOC. VALE DO ROSÁRIO ")</f>
      </c>
      <c r="C109" s="4" t="inlineStr">
        <is>
          <t>Vendido</t>
        </is>
      </c>
      <c r="D109" s="4" t="inlineStr">
        <is>
          <t>5</t>
        </is>
      </c>
      <c r="E109" s="5" t="inlineStr">
        <is>
          <t>22.000,00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=HYPERLINK("https://www.leilaoonline.net/lote/detalhe/270320", "1245")</f>
      </c>
      <c r="B110" s="4" t="s">
        <f>=HYPERLINK("https://www.leilaoonline.net/lote/detalhe/270320", "CONJUNTO DE PNEUS E PNEUS COM RODAS. S/FR. - LOC. VALE DO ROSÁRIO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=HYPERLINK("https://www.leilaoonline.net/lote/detalhe/270322", "1246")</f>
      </c>
      <c r="B111" s="4" t="s">
        <f>=HYPERLINK("https://www.leilaoonline.net/lote/detalhe/270322", "GRADE. - FR92784. - LOC. JUNQUEIRA 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=HYPERLINK("https://www.leilaoonline.net/lote/detalhe/270321", "1247")</f>
      </c>
      <c r="B112" s="4" t="s">
        <f>=HYPERLINK("https://www.leilaoonline.net/lote/detalhe/270321", "TANQUE. - S/FR. - LOC. JUNQUEIRA")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=HYPERLINK("https://www.leilaoonline.net/lote/detalhe/270323", "1248")</f>
      </c>
      <c r="B113" s="4" t="s">
        <f>=HYPERLINK("https://www.leilaoonline.net/lote/detalhe/270323", "REBOQUE CAMAQ; ANO 1991/1991; LARANJA; (TRANSBORDO ANTONIOSI). -FR121095/182340. - (VENDA SOMENTE PARA COMPRADORES DO ESTADO DE SÃO PAULO) - LOC. JUNQUEIRA")</f>
      </c>
      <c r="C113" s="4" t="inlineStr">
        <is>
          <t>Não vendido</t>
        </is>
      </c>
      <c r="D113" s="4" t="inlineStr">
        <is>
          <t>19</t>
        </is>
      </c>
      <c r="E113" s="5" t="inlineStr">
        <is>
          <t>28.000,00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=HYPERLINK("https://www.leilaoonline.net/lote/detalhe/270399", "1249")</f>
      </c>
      <c r="B114" s="4" t="s">
        <f>=HYPERLINK("https://www.leilaoonline.net/lote/detalhe/270399", "SEMI REBOQUE SERGOMEL SRSCPI 2E; ANO 2014/2014; CINZA. - FR134089. - LOC. SERRA 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55.000,00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=HYPERLINK("https://www.leilaoonline.net/lote/detalhe/270480", "1250")</f>
      </c>
      <c r="B115" s="4" t="s">
        <f>=HYPERLINK("https://www.leilaoonline.net/lote/detalhe/270480", "REBOQUE SERGOMEL RSCPI 4E; ANO 2014/2014; CINZA. - FR134095. - LOC. SERRA ")</f>
      </c>
      <c r="C115" s="4" t="inlineStr">
        <is>
          <t>Não vendido</t>
        </is>
      </c>
      <c r="D115" s="4" t="inlineStr">
        <is>
          <t>9</t>
        </is>
      </c>
      <c r="E115" s="5" t="inlineStr">
        <is>
          <t>65.000,00</t>
        </is>
      </c>
      <c r="F115" s="4" t="inlineStr">
        <is>
          <t>1500.00</t>
        </is>
      </c>
    </row>
    <row collapsed="false" customFormat="false" customHeight="false" hidden="false" ht="12.1" outlineLevel="0" r="116">
      <c r="A116" s="5" t="s">
        <f>=HYPERLINK("https://www.leilaoonline.net/lote/detalhe/270543", "1253")</f>
      </c>
      <c r="B116" s="4" t="s">
        <f>=HYPERLINK("https://www.leilaoonline.net/lote/detalhe/270543", "SEMI REBOQUE SERGOMEL SRSCPI 2E; ANO 2014/2014; CINZA. - FR361763. - LOC. SERRA ")</f>
      </c>
      <c r="C116" s="4" t="inlineStr">
        <is>
          <t>Não vendido</t>
        </is>
      </c>
      <c r="D116" s="4" t="inlineStr">
        <is>
          <t>3</t>
        </is>
      </c>
      <c r="E116" s="5" t="inlineStr">
        <is>
          <t>50.000,00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=HYPERLINK("https://www.leilaoonline.net/lote/detalhe/270544", "1254")</f>
      </c>
      <c r="B117" s="4" t="s">
        <f>=HYPERLINK("https://www.leilaoonline.net/lote/detalhe/270544", "REBOQUE SERGOMEL RSCPI 4E; ANO 2014/2014; CINZA. - FR361740. - LOC. SERRA")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63.500,00</t>
        </is>
      </c>
      <c r="F117" s="4" t="inlineStr">
        <is>
          <t>1500.00</t>
        </is>
      </c>
    </row>
    <row collapsed="false" customFormat="false" customHeight="false" hidden="false" ht="12.1" outlineLevel="0" r="118">
      <c r="A118" s="5" t="s">
        <f>=HYPERLINK("https://www.leilaoonline.net/lote/detalhe/270545", "1255")</f>
      </c>
      <c r="B118" s="4" t="s">
        <f>=HYPERLINK("https://www.leilaoonline.net/lote/detalhe/270545", "SEMI REBOQUE SERGOMEL SRSCPI 2E; ANO 2014/2014; CINZA. - FR17255. - LOC. SERRA ")</f>
      </c>
      <c r="C118" s="4" t="inlineStr">
        <is>
          <t>Não vendido</t>
        </is>
      </c>
      <c r="D118" s="4" t="inlineStr">
        <is>
          <t>9</t>
        </is>
      </c>
      <c r="E118" s="5" t="inlineStr">
        <is>
          <t>55.000,00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=HYPERLINK("https://www.leilaoonline.net/lote/detalhe/270565", "1256")</f>
      </c>
      <c r="B119" s="4" t="s">
        <f>=HYPERLINK("https://www.leilaoonline.net/lote/detalhe/270565", "SEMI REBOQUE RANDONSP SRCA CA; ANO 2012/2013; CINZA. - FR361347. - LOC. SERRA 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66.000,00</t>
        </is>
      </c>
      <c r="F119" s="4" t="inlineStr">
        <is>
          <t>1500.00</t>
        </is>
      </c>
    </row>
    <row collapsed="false" customFormat="false" customHeight="false" hidden="false" ht="12.1" outlineLevel="0" r="120">
      <c r="A120" s="5" t="s">
        <f>=HYPERLINK("https://www.leilaoonline.net/lote/detalhe/270546", "1257")</f>
      </c>
      <c r="B120" s="4" t="s">
        <f>=HYPERLINK("https://www.leilaoonline.net/lote/detalhe/270546", "REBOQUE SERGOMEL RSCPI 4E; ANO 2014/2014; CINZA. - FR17257. - LOC. SERRA ")</f>
      </c>
      <c r="C120" s="4" t="inlineStr">
        <is>
          <t>Não vendido</t>
        </is>
      </c>
      <c r="D120" s="4" t="inlineStr">
        <is>
          <t>19</t>
        </is>
      </c>
      <c r="E120" s="5" t="inlineStr">
        <is>
          <t>85.000,00</t>
        </is>
      </c>
      <c r="F120" s="4" t="inlineStr">
        <is>
          <t>1500.00</t>
        </is>
      </c>
    </row>
    <row collapsed="false" customFormat="false" customHeight="false" hidden="false" ht="12.1" outlineLevel="0" r="121">
      <c r="A121" s="5" t="s">
        <f>=HYPERLINK("https://www.leilaoonline.net/lote/detalhe/270547", "1258")</f>
      </c>
      <c r="B121" s="4" t="s">
        <f>=HYPERLINK("https://www.leilaoonline.net/lote/detalhe/270547", "REBOQUE RANDONSP RQ CA; ANO 2012/2013; CINZA. - FR361327. - LOC. SERRA ")</f>
      </c>
      <c r="C121" s="4" t="inlineStr">
        <is>
          <t>Não vendido</t>
        </is>
      </c>
      <c r="D121" s="4" t="inlineStr">
        <is>
          <t>17</t>
        </is>
      </c>
      <c r="E121" s="5" t="inlineStr">
        <is>
          <t>84.000,00</t>
        </is>
      </c>
      <c r="F121" s="4" t="inlineStr">
        <is>
          <t>1500.00</t>
        </is>
      </c>
    </row>
    <row collapsed="false" customFormat="false" customHeight="false" hidden="false" ht="12.1" outlineLevel="0" r="122">
      <c r="A122" s="5" t="s">
        <f>=HYPERLINK("https://www.leilaoonline.net/lote/detalhe/269969", "1300")</f>
      </c>
      <c r="B122" s="4" t="s">
        <f>=HYPERLINK("https://www.leilaoonline.net/lote/detalhe/269969", "3 AGROMATÃO. - FR103137/74001/103132. - LOC. DIAMANTE ")</f>
      </c>
      <c r="C122" s="4" t="inlineStr">
        <is>
          <t>Vendido</t>
        </is>
      </c>
      <c r="D122" s="4" t="inlineStr">
        <is>
          <t>21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=HYPERLINK("https://www.leilaoonline.net/lote/detalhe/269970", "1301")</f>
      </c>
      <c r="B123" s="4" t="s">
        <f>=HYPERLINK("https://www.leilaoonline.net/lote/detalhe/269970", "2 ESTRURAS DE IMPLEMENTO. - FR74008/103878. - LOC. DIAMANTE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=HYPERLINK("https://www.leilaoonline.net/lote/detalhe/269971", "1302")</f>
      </c>
      <c r="B124" s="4" t="s">
        <f>=HYPERLINK("https://www.leilaoonline.net/lote/detalhe/269971", "ELIMINADOR DE SOQUEIRA. - FR103872. - LOC. DIAMANTE 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=HYPERLINK("https://www.leilaoonline.net/lote/detalhe/269972", "1303")</f>
      </c>
      <c r="B125" s="4" t="s">
        <f>=HYPERLINK("https://www.leilaoonline.net/lote/detalhe/269972", "1 ESTRUTURA DE IMPLEMENTO. - FR103884. - LOC. DIAMANTE 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1.000,00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=HYPERLINK("https://www.leilaoonline.net/lote/detalhe/269973", "1304")</f>
      </c>
      <c r="B126" s="4" t="s">
        <f>=HYPERLINK("https://www.leilaoonline.net/lote/detalhe/269973", "2 AGROMATÃO. - FR122969/103136. - LOC. DIAMANTE ")</f>
      </c>
      <c r="C126" s="4" t="inlineStr">
        <is>
          <t>Vendido</t>
        </is>
      </c>
      <c r="D126" s="4" t="inlineStr">
        <is>
          <t>14</t>
        </is>
      </c>
      <c r="E126" s="5" t="inlineStr">
        <is>
          <t>4.250,00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=HYPERLINK("https://www.leilaoonline.net/lote/detalhe/269990", "1307")</f>
      </c>
      <c r="B127" s="4" t="s">
        <f>=HYPERLINK("https://www.leilaoonline.net/lote/detalhe/269990", "TRATOR VALTRA BH 210; ANO 2014. - FR100729. - LOC. DIAMANTE 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106.000,00</t>
        </is>
      </c>
      <c r="F127" s="4" t="inlineStr">
        <is>
          <t>2000.00</t>
        </is>
      </c>
    </row>
    <row collapsed="false" customFormat="false" customHeight="false" hidden="false" ht="12.1" outlineLevel="0" r="128">
      <c r="A128" s="5" t="s">
        <f>=HYPERLINK("https://www.leilaoonline.net/lote/detalhe/269991", "1308")</f>
      </c>
      <c r="B128" s="4" t="s">
        <f>=HYPERLINK("https://www.leilaoonline.net/lote/detalhe/269991", "SUCATA DE IMPLEMENTO; PESO ESTIMADO 12 TON.; (VENDA POR KILO). - FR103081/103347/103281/74043/103098/PAT053956. - LOC. DIAMANTE ")</f>
      </c>
      <c r="C128" s="4" t="inlineStr">
        <is>
          <t>Vendido</t>
        </is>
      </c>
      <c r="D128" s="4" t="inlineStr">
        <is>
          <t>6</t>
        </is>
      </c>
      <c r="E128" s="5" t="inlineStr">
        <is>
          <t>18.360,00</t>
        </is>
      </c>
      <c r="F128" s="4" t="inlineStr">
        <is>
          <t>0.10</t>
        </is>
      </c>
    </row>
    <row collapsed="false" customFormat="false" customHeight="false" hidden="false" ht="12.1" outlineLevel="0" r="129">
      <c r="A129" s="5" t="s">
        <f>=HYPERLINK("https://www.leilaoonline.net/lote/detalhe/269994", "1309")</f>
      </c>
      <c r="B129" s="4" t="s">
        <f>=HYPERLINK("https://www.leilaoonline.net/lote/detalhe/269994", "VEJA VÍDEO!!! CAMINHÃO VOLKSWAGEN 15.180 EURO3 WORKER; ANO 2011/2012; BRANCA(COMBOIO);(VENDA SEM EQUIPAMENTO DE TELEMETRIA). - FR96649/98573. - LOC. BARRA ")</f>
      </c>
      <c r="C129" s="4" t="inlineStr">
        <is>
          <t>Não vendido</t>
        </is>
      </c>
      <c r="D129" s="4" t="inlineStr">
        <is>
          <t>98</t>
        </is>
      </c>
      <c r="E129" s="5" t="inlineStr">
        <is>
          <t>188.000,00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=HYPERLINK("https://www.leilaoonline.net/lote/detalhe/269995", "1310")</f>
      </c>
      <c r="B130" s="4" t="s">
        <f>=HYPERLINK("https://www.leilaoonline.net/lote/detalhe/269995", "VEJA VÍDEO!!! TRATOR VALTRA BT190; ANO 2015. - FR50942. - LOC. BARRA ")</f>
      </c>
      <c r="C130" s="4" t="inlineStr">
        <is>
          <t>Vendido</t>
        </is>
      </c>
      <c r="D130" s="4" t="inlineStr">
        <is>
          <t>40</t>
        </is>
      </c>
      <c r="E130" s="5" t="inlineStr">
        <is>
          <t>128.000,00</t>
        </is>
      </c>
      <c r="F130" s="4" t="inlineStr">
        <is>
          <t>2000.00</t>
        </is>
      </c>
    </row>
    <row collapsed="false" customFormat="false" customHeight="false" hidden="false" ht="12.1" outlineLevel="0" r="131">
      <c r="A131" s="5" t="s">
        <f>=HYPERLINK("https://www.leilaoonline.net/lote/detalhe/269997", "1312")</f>
      </c>
      <c r="B131" s="4" t="s">
        <f>=HYPERLINK("https://www.leilaoonline.net/lote/detalhe/269997", "CARRETA TANQUE DE AÇO. - FR103961. - LOC. BARRA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10.000,00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=HYPERLINK("https://www.leilaoonline.net/lote/detalhe/269998", "1313")</f>
      </c>
      <c r="B132" s="4" t="s">
        <f>=HYPERLINK("https://www.leilaoonline.net/lote/detalhe/269998", "MOTO BOMBA. -  S/FR. - LOC. BARRA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5.500,00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=HYPERLINK("https://www.leilaoonline.net/lote/detalhe/270005", "1314")</f>
      </c>
      <c r="B133" s="4" t="s">
        <f>=HYPERLINK("https://www.leilaoonline.net/lote/detalhe/270005", "HIDRO ROLL. - FR102428. - LOC. BARRA ")</f>
      </c>
      <c r="C133" s="4" t="inlineStr">
        <is>
          <t>Não vendido</t>
        </is>
      </c>
      <c r="D133" s="4" t="inlineStr">
        <is>
          <t>1</t>
        </is>
      </c>
      <c r="E133" s="5" t="inlineStr">
        <is>
          <t>2.500,00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=HYPERLINK("https://www.leilaoonline.net/lote/detalhe/270007", "1315")</f>
      </c>
      <c r="B134" s="4" t="s">
        <f>=HYPERLINK("https://www.leilaoonline.net/lote/detalhe/270007", "PENTA MAFES. - FR112792. - LOC. BARRA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=HYPERLINK("https://www.leilaoonline.net/lote/detalhe/270008", "1316")</f>
      </c>
      <c r="B135" s="4" t="s">
        <f>=HYPERLINK("https://www.leilaoonline.net/lote/detalhe/270008", "PENTA MAFES. - FR103499. - LOC.BARRA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=HYPERLINK("https://www.leilaoonline.net/lote/detalhe/270009", "1317")</f>
      </c>
      <c r="B136" s="4" t="s">
        <f>=HYPERLINK("https://www.leilaoonline.net/lote/detalhe/270009", "PENTA MAFES. - FR361026. - LOC. BARRA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=HYPERLINK("https://www.leilaoonline.net/lote/detalhe/270010", "1318")</f>
      </c>
      <c r="B137" s="4" t="s">
        <f>=HYPERLINK("https://www.leilaoonline.net/lote/detalhe/270010", "SULCADOR. - S/FR. - LOC. BARRA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=HYPERLINK("https://www.leilaoonline.net/lote/detalhe/270011", "1320")</f>
      </c>
      <c r="B138" s="4" t="s">
        <f>=HYPERLINK("https://www.leilaoonline.net/lote/detalhe/270011", "COLHEDORA JOHN DEERE 3522. - ANO 2013 - FR101490. - LOC. BARRA 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11.000,00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=HYPERLINK("https://www.leilaoonline.net/lote/detalhe/270141", "1325")</f>
      </c>
      <c r="B139" s="4" t="s">
        <f>=HYPERLINK("https://www.leilaoonline.net/lote/detalhe/270141", "LOTE CONTENDO: 2 FOGÕES, 2 BANHO MARIA, 1 EQ/ ESTUFA, 2 PANELAS E 10 ASSADEIRAS. - PAT.313656/169249. - LOC. BONFIM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=HYPERLINK("https://www.leilaoonline.net/lote/detalhe/270142", "1326")</f>
      </c>
      <c r="B140" s="4" t="s">
        <f>=HYPERLINK("https://www.leilaoonline.net/lote/detalhe/270142", "CARRETA SERVIÇOS GERAIS. - PAT.069559. - LOC. BONFIM ")</f>
      </c>
      <c r="C140" s="4" t="inlineStr">
        <is>
          <t>Vendido</t>
        </is>
      </c>
      <c r="D140" s="4" t="inlineStr">
        <is>
          <t>48</t>
        </is>
      </c>
      <c r="E140" s="5" t="inlineStr">
        <is>
          <t>11.000,00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=HYPERLINK("https://www.leilaoonline.net/lote/detalhe/270143", "1327")</f>
      </c>
      <c r="B141" s="4" t="s">
        <f>=HYPERLINK("https://www.leilaoonline.net/lote/detalhe/270143", "TRATOR JOHN DEERE 7500 4X4 - ANO 2001 - FR115524. - LOC. BONFIM")</f>
      </c>
      <c r="C141" s="4" t="inlineStr">
        <is>
          <t>Vendido</t>
        </is>
      </c>
      <c r="D141" s="4" t="inlineStr">
        <is>
          <t>37</t>
        </is>
      </c>
      <c r="E141" s="5" t="inlineStr">
        <is>
          <t>57.000,00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=HYPERLINK("https://www.leilaoonline.net/lote/detalhe/270144", "1328")</f>
      </c>
      <c r="B142" s="4" t="s">
        <f>=HYPERLINK("https://www.leilaoonline.net/lote/detalhe/270144", "COLHEDORA JOHN DEERE 3522. - ANO 2012 - FR23625 - BONFIM ")</f>
      </c>
      <c r="C142" s="4" t="inlineStr">
        <is>
          <t>Não vendido</t>
        </is>
      </c>
      <c r="D142" s="4" t="inlineStr">
        <is>
          <t>13</t>
        </is>
      </c>
      <c r="E142" s="5" t="inlineStr">
        <is>
          <t>32.000,00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=HYPERLINK("https://www.leilaoonline.net/lote/detalhe/270145", "1329")</f>
      </c>
      <c r="B143" s="4" t="s">
        <f>=HYPERLINK("https://www.leilaoonline.net/lote/detalhe/270145", "TRATOR JOHN DEERE 7225 J; ANO 2016. - FR115715. - LOC.BONFIM ")</f>
      </c>
      <c r="C143" s="4" t="inlineStr">
        <is>
          <t>Vendido</t>
        </is>
      </c>
      <c r="D143" s="4" t="inlineStr">
        <is>
          <t>22</t>
        </is>
      </c>
      <c r="E143" s="5" t="inlineStr">
        <is>
          <t>108.000,00</t>
        </is>
      </c>
      <c r="F143" s="4" t="inlineStr">
        <is>
          <t>2000.00</t>
        </is>
      </c>
    </row>
    <row collapsed="false" customFormat="false" customHeight="false" hidden="false" ht="12.1" outlineLevel="0" r="144">
      <c r="A144" s="5" t="s">
        <f>=HYPERLINK("https://www.leilaoonline.net/lote/detalhe/270147", "1330")</f>
      </c>
      <c r="B144" s="4" t="s">
        <f>=HYPERLINK("https://www.leilaoonline.net/lote/detalhe/270147", "TRATOR JOHN DEERE 7225 J; ANO 2016. - FR115689. - LOC. BONFIM ")</f>
      </c>
      <c r="C144" s="4" t="inlineStr">
        <is>
          <t>Vendido</t>
        </is>
      </c>
      <c r="D144" s="4" t="inlineStr">
        <is>
          <t>34</t>
        </is>
      </c>
      <c r="E144" s="5" t="inlineStr">
        <is>
          <t>116.000,00</t>
        </is>
      </c>
      <c r="F144" s="4" t="inlineStr">
        <is>
          <t>2000.00</t>
        </is>
      </c>
    </row>
    <row collapsed="false" customFormat="false" customHeight="false" hidden="false" ht="12.1" outlineLevel="0" r="145">
      <c r="A145" s="5" t="s">
        <f>=HYPERLINK("https://www.leilaoonline.net/lote/detalhe/270148", "1331")</f>
      </c>
      <c r="B145" s="4" t="s">
        <f>=HYPERLINK("https://www.leilaoonline.net/lote/detalhe/270148", "TRATOR JOHN DEERE 7225 J; ANO 2016; ( SEM MOTOR). - FR115718. - LOC. BONFIM")</f>
      </c>
      <c r="C145" s="4" t="inlineStr">
        <is>
          <t>Não vendido</t>
        </is>
      </c>
      <c r="D145" s="4" t="inlineStr">
        <is>
          <t>28</t>
        </is>
      </c>
      <c r="E145" s="5" t="inlineStr">
        <is>
          <t>50.000,00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=HYPERLINK("https://www.leilaoonline.net/lote/detalhe/270150", "1332")</f>
      </c>
      <c r="B146" s="4" t="s">
        <f>=HYPERLINK("https://www.leilaoonline.net/lote/detalhe/270150", "CARROCERIA DE AÇO. - S/FR. - LOC.ZANIN")</f>
      </c>
      <c r="C146" s="4" t="inlineStr">
        <is>
          <t>Não vendido</t>
        </is>
      </c>
      <c r="D146" s="4" t="inlineStr">
        <is>
          <t>10</t>
        </is>
      </c>
      <c r="E146" s="5" t="inlineStr">
        <is>
          <t>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=HYPERLINK("https://www.leilaoonline.net/lote/detalhe/270151", "1333")</f>
      </c>
      <c r="B147" s="4" t="s">
        <f>=HYPERLINK("https://www.leilaoonline.net/lote/detalhe/270151", "TRATOR CASE MX 235: ANO 2013. - FR23240. - LOC. ZANIN")</f>
      </c>
      <c r="C147" s="4" t="inlineStr">
        <is>
          <t>Vendido</t>
        </is>
      </c>
      <c r="D147" s="4" t="inlineStr">
        <is>
          <t>38</t>
        </is>
      </c>
      <c r="E147" s="5" t="inlineStr">
        <is>
          <t>71.000,00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=HYPERLINK("https://www.leilaoonline.net/lote/detalhe/270152", "1334")</f>
      </c>
      <c r="B148" s="4" t="s">
        <f>=HYPERLINK("https://www.leilaoonline.net/lote/detalhe/270152", "CARRETA SERVIÇOS GERAIS. - FR361043. - LOC. ZANIN")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=HYPERLINK("https://www.leilaoonline.net/lote/detalhe/270761", "8050")</f>
      </c>
      <c r="B149" s="4" t="s">
        <f>=HYPERLINK("https://www.leilaoonline.net/lote/detalhe/270761", "1 GERADOR À DIESEL CATERPILLAR 450K COM MOTOR. - FR292169/FR292168. - LOC. PASSATEMPO")</f>
      </c>
      <c r="C149" s="4" t="inlineStr">
        <is>
          <t>Não vendido</t>
        </is>
      </c>
      <c r="D149" s="4" t="inlineStr">
        <is>
          <t>50</t>
        </is>
      </c>
      <c r="E149" s="5" t="inlineStr">
        <is>
          <t>54.000,00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=HYPERLINK("https://www.leilaoonline.net/lote/detalhe/269638", "10250")</f>
      </c>
      <c r="B150" s="4" t="s">
        <f>=HYPERLINK("https://www.leilaoonline.net/lote/detalhe/269638", "CARRETA PARA TRANSPORTE DE TUBOS. - FR8004001 (514001). - LOC. LAGOA DA PRATA")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=HYPERLINK("https://www.leilaoonline.net/lote/detalhe/269316", "10316")</f>
      </c>
      <c r="B151" s="4" t="s">
        <f>=HYPERLINK("https://www.leilaoonline.net/lote/detalhe/269316", "TRATOR CASE PUMA 205 4X4; ANO 2017; (VENDA SEM OS PESOS DAS RODAS). - FR8002033. - LOC. BARRA ")</f>
      </c>
      <c r="C151" s="4" t="inlineStr">
        <is>
          <t>Não vendido</t>
        </is>
      </c>
      <c r="D151" s="4" t="inlineStr">
        <is>
          <t>22</t>
        </is>
      </c>
      <c r="E151" s="5" t="inlineStr">
        <is>
          <t>76.000,00</t>
        </is>
      </c>
      <c r="F151" s="4" t="inlineStr">
        <is>
          <t>2000.00</t>
        </is>
      </c>
    </row>
    <row collapsed="false" customFormat="false" customHeight="false" hidden="false" ht="12.1" outlineLevel="0" r="152">
      <c r="A152" s="5" t="s">
        <f>=HYPERLINK("https://www.leilaoonline.net/lote/detalhe/270127", "10362")</f>
      </c>
      <c r="B152" s="4" t="s">
        <f>=HYPERLINK("https://www.leilaoonline.net/lote/detalhe/270127", "ENLEIRADEIRA; ANO 2013. - FR140000. - LOC. RAFARD")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=HYPERLINK("https://www.leilaoonline.net/lote/detalhe/270029", "10477")</f>
      </c>
      <c r="B153" s="4" t="s">
        <f>=HYPERLINK("https://www.leilaoonline.net/lote/detalhe/270029", "CAMINHÃO VOLKSWAGEN 15.180 EURO3 WORKER; ANO 2008/2008; BRANCA. - FR88203. - LOC. BENALCOOL")</f>
      </c>
      <c r="C153" s="4" t="inlineStr">
        <is>
          <t>Vendido</t>
        </is>
      </c>
      <c r="D153" s="4" t="inlineStr">
        <is>
          <t>21</t>
        </is>
      </c>
      <c r="E153" s="5" t="inlineStr">
        <is>
          <t>102.000,00</t>
        </is>
      </c>
      <c r="F153" s="4" t="inlineStr">
        <is>
          <t>2000.00</t>
        </is>
      </c>
    </row>
    <row collapsed="false" customFormat="false" customHeight="false" hidden="false" ht="12.1" outlineLevel="0" r="154">
      <c r="A154" s="5" t="s">
        <f>=HYPERLINK("https://www.leilaoonline.net/lote/detalhe/270576", "10503")</f>
      </c>
      <c r="B154" s="4" t="s">
        <f>=HYPERLINK("https://www.leilaoonline.net/lote/detalhe/270576", "MOTO BOMBA MWM D229/6; ANO 1990. - FR10503. - LOC. BARRA ")</f>
      </c>
      <c r="C154" s="4" t="inlineStr">
        <is>
          <t>Vendido</t>
        </is>
      </c>
      <c r="D154" s="4" t="inlineStr">
        <is>
          <t>34</t>
        </is>
      </c>
      <c r="E154" s="5" t="inlineStr">
        <is>
          <t>14.050,00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=HYPERLINK("https://www.leilaoonline.net/lote/detalhe/270573", "10633")</f>
      </c>
      <c r="B155" s="4" t="s">
        <f>=HYPERLINK("https://www.leilaoonline.net/lote/detalhe/270573", "CAMINHÃO MERCEDES BENZ AXOR 3344 S 6X4; ANO 2014/2014;(SERÁ VENDIDO SEM O KIT HIDRÁULICO). - FR10633. - LOC. BARRA ")</f>
      </c>
      <c r="C155" s="4" t="inlineStr">
        <is>
          <t>Vendido</t>
        </is>
      </c>
      <c r="D155" s="4" t="inlineStr">
        <is>
          <t>66</t>
        </is>
      </c>
      <c r="E155" s="5" t="inlineStr">
        <is>
          <t>170.000,00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=HYPERLINK("https://www.leilaoonline.net/lote/detalhe/270325", "10689")</f>
      </c>
      <c r="B156" s="4" t="s">
        <f>=HYPERLINK("https://www.leilaoonline.net/lote/detalhe/270325", "03 IMPLEMENTOS AGROMATÃO. - 308-2019/ 283-2019/103134. - LOC. JUNQUEIRA ")</f>
      </c>
      <c r="C156" s="4" t="inlineStr">
        <is>
          <t>Vendido</t>
        </is>
      </c>
      <c r="D156" s="4" t="inlineStr">
        <is>
          <t>4</t>
        </is>
      </c>
      <c r="E156" s="5" t="inlineStr">
        <is>
          <t>4.000,00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=HYPERLINK("https://www.leilaoonline.net/lote/detalhe/269643", "10761")</f>
      </c>
      <c r="B157" s="4" t="s">
        <f>=HYPERLINK("https://www.leilaoonline.net/lote/detalhe/269643", "TRATOR CASE 260; ANO 2017. - FR20381. - LOC. PARAISO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80.000,00</t>
        </is>
      </c>
      <c r="F157" s="4" t="inlineStr">
        <is>
          <t>2500.00</t>
        </is>
      </c>
    </row>
    <row collapsed="false" customFormat="false" customHeight="false" hidden="false" ht="12.1" outlineLevel="0" r="158">
      <c r="A158" s="5" t="s">
        <f>=HYPERLINK("https://www.leilaoonline.net/lote/detalhe/270328", "10853")</f>
      </c>
      <c r="B158" s="4" t="s">
        <f>=HYPERLINK("https://www.leilaoonline.net/lote/detalhe/270328", "REBOQUE BANDEIRANTES JF1 500; ANO 2013/2013; CINZA. - FR92840. - LOC.JUNQUEIRA ")</f>
      </c>
      <c r="C158" s="4" t="inlineStr">
        <is>
          <t>Vendido</t>
        </is>
      </c>
      <c r="D158" s="4" t="inlineStr">
        <is>
          <t>5</t>
        </is>
      </c>
      <c r="E158" s="5" t="inlineStr">
        <is>
          <t>2.000,00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=HYPERLINK("https://www.leilaoonline.net/lote/detalhe/270762", "10889")</f>
      </c>
      <c r="B159" s="4" t="s">
        <f>=HYPERLINK("https://www.leilaoonline.net/lote/detalhe/270762", " TRATOR CASE PUMA 230 4X4; ANO 2017. - FR50951. - LOC. BOM RETIRO")</f>
      </c>
      <c r="C159" s="4" t="inlineStr">
        <is>
          <t>Vendido</t>
        </is>
      </c>
      <c r="D159" s="4" t="inlineStr">
        <is>
          <t>16</t>
        </is>
      </c>
      <c r="E159" s="5" t="inlineStr">
        <is>
          <t>70.000,00</t>
        </is>
      </c>
      <c r="F159" s="4" t="inlineStr">
        <is>
          <t>2000.00</t>
        </is>
      </c>
    </row>
    <row collapsed="false" customFormat="false" customHeight="false" hidden="false" ht="12.1" outlineLevel="0" r="160">
      <c r="A160" s="5" t="s">
        <f>=HYPERLINK("https://www.leilaoonline.net/lote/detalhe/270012", "10979")</f>
      </c>
      <c r="B160" s="4" t="s">
        <f>=HYPERLINK("https://www.leilaoonline.net/lote/detalhe/270012", "AGROMATÃO. - FR136034. - LOC. PARAÍSO")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=HYPERLINK("https://www.leilaoonline.net/lote/detalhe/270571", "10992")</f>
      </c>
      <c r="B161" s="4" t="s">
        <f>=HYPERLINK("https://www.leilaoonline.net/lote/detalhe/270571", " TRATOR CASE 260; ANO 2018. - FR84592. - LOC.BARRA ")</f>
      </c>
      <c r="C161" s="4" t="inlineStr">
        <is>
          <t>Vendido</t>
        </is>
      </c>
      <c r="D161" s="4" t="inlineStr">
        <is>
          <t>15</t>
        </is>
      </c>
      <c r="E161" s="5" t="inlineStr">
        <is>
          <t>115.000,00</t>
        </is>
      </c>
      <c r="F161" s="4" t="inlineStr">
        <is>
          <t>2500.00</t>
        </is>
      </c>
    </row>
    <row collapsed="false" customFormat="false" customHeight="false" hidden="false" ht="12.1" outlineLevel="0" r="162">
      <c r="A162" s="5" t="s">
        <f>=HYPERLINK("https://www.leilaoonline.net/lote/detalhe/270013", "10993")</f>
      </c>
      <c r="B162" s="4" t="s">
        <f>=HYPERLINK("https://www.leilaoonline.net/lote/detalhe/270013", "TRATOR CASE 260; ANO 2017. - FR11219. - LOC. BARRA ")</f>
      </c>
      <c r="C162" s="4" t="inlineStr">
        <is>
          <t>Vendido</t>
        </is>
      </c>
      <c r="D162" s="4" t="inlineStr">
        <is>
          <t>3</t>
        </is>
      </c>
      <c r="E162" s="5" t="inlineStr">
        <is>
          <t>85.000,00</t>
        </is>
      </c>
      <c r="F162" s="4" t="inlineStr">
        <is>
          <t>2500.00</t>
        </is>
      </c>
    </row>
    <row collapsed="false" customFormat="false" customHeight="false" hidden="false" ht="12.1" outlineLevel="0" r="163">
      <c r="A163" s="5" t="s">
        <f>=HYPERLINK("https://www.leilaoonline.net/lote/detalhe/271056", "11052")</f>
      </c>
      <c r="B163" s="4" t="s">
        <f>=HYPERLINK("https://www.leilaoonline.net/lote/detalhe/271056", "VEJA VÍDEO!! CAMINHÃO MERCEDES BENZ AXOR 3344S 6X4; ANO 2016/2016; BRANCA. - FR4415061. - LOC. GASA")</f>
      </c>
      <c r="C163" s="4" t="inlineStr">
        <is>
          <t>Vendido</t>
        </is>
      </c>
      <c r="D163" s="4" t="inlineStr">
        <is>
          <t>79</t>
        </is>
      </c>
      <c r="E163" s="5" t="inlineStr">
        <is>
          <t>190.000,00</t>
        </is>
      </c>
      <c r="F163" s="4" t="inlineStr">
        <is>
          <t>2000.00</t>
        </is>
      </c>
    </row>
    <row collapsed="false" customFormat="false" customHeight="false" hidden="false" ht="12.1" outlineLevel="0" r="164">
      <c r="A164" s="5" t="s">
        <f>=HYPERLINK("https://www.leilaoonline.net/lote/detalhe/270125", "11070")</f>
      </c>
      <c r="B164" s="4" t="s">
        <f>=HYPERLINK("https://www.leilaoonline.net/lote/detalhe/270125", "CARROCERIA ABAS. F. BAZUCA; ANO 2014. - FR140601. - LOC. SÃO FRANCISCO")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=HYPERLINK("https://www.leilaoonline.net/lote/detalhe/270128", "11071")</f>
      </c>
      <c r="B165" s="4" t="s">
        <f>=HYPERLINK("https://www.leilaoonline.net/lote/detalhe/270128", "TRANSBORDO ATA 10500; ANO 2010. - FR38367. - LOC. RAFARD")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=HYPERLINK("https://www.leilaoonline.net/lote/detalhe/270566", "11072")</f>
      </c>
      <c r="B166" s="4" t="s">
        <f>=HYPERLINK("https://www.leilaoonline.net/lote/detalhe/270566", "LOTE CONTENTO ITENS DE LABORATÓRIOS SUCATEADOS DIVERSOS; VEJA DESCRITIVO DE ITENS . - LOC. IPAUSSU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=HYPERLINK("https://www.leilaoonline.net/lote/detalhe/270572", "11073")</f>
      </c>
      <c r="B167" s="4" t="s">
        <f>=HYPERLINK("https://www.leilaoonline.net/lote/detalhe/270572", "LOTE COM APROX. 100 PALETES. (LANCE POR UNIDADE) - S/FR. - LOC. PARAÍSO")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1,00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=HYPERLINK("https://www.leilaoonline.net/lote/detalhe/270574", "11074")</f>
      </c>
      <c r="B168" s="4" t="s">
        <f>=HYPERLINK("https://www.leilaoonline.net/lote/detalhe/270574", "TRATOR CASE PUMA 205 4X4; ANO 2017. - FR512037. - LOC. BARRA ")</f>
      </c>
      <c r="C168" s="4" t="inlineStr">
        <is>
          <t>Não vendido</t>
        </is>
      </c>
      <c r="D168" s="4" t="inlineStr">
        <is>
          <t>31</t>
        </is>
      </c>
      <c r="E168" s="5" t="inlineStr">
        <is>
          <t>84.000,00</t>
        </is>
      </c>
      <c r="F168" s="4" t="inlineStr">
        <is>
          <t>2000.00</t>
        </is>
      </c>
    </row>
    <row collapsed="false" customFormat="false" customHeight="false" hidden="false" ht="12.1" outlineLevel="0" r="169">
      <c r="A169" s="5" t="s">
        <f>=HYPERLINK("https://www.leilaoonline.net/lote/detalhe/270575", "11075")</f>
      </c>
      <c r="B169" s="4" t="s">
        <f>=HYPERLINK("https://www.leilaoonline.net/lote/detalhe/270575", "TRATOR MF 283 4X4; ANO 2006. - FR102753. - LOC. BARRA ")</f>
      </c>
      <c r="C169" s="4" t="inlineStr">
        <is>
          <t>Vendido</t>
        </is>
      </c>
      <c r="D169" s="4" t="inlineStr">
        <is>
          <t>47</t>
        </is>
      </c>
      <c r="E169" s="5" t="inlineStr">
        <is>
          <t>65.000,00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=HYPERLINK("https://www.leilaoonline.net/lote/detalhe/270577", "11076")</f>
      </c>
      <c r="B170" s="4" t="s">
        <f>=HYPERLINK("https://www.leilaoonline.net/lote/detalhe/270577", "DOLLY USICAMP; ANO 2009. - FR164807. - (VENDA SEM DOCUMENTO) - LOC. BARRA ")</f>
      </c>
      <c r="C170" s="4" t="inlineStr">
        <is>
          <t>Vendido</t>
        </is>
      </c>
      <c r="D170" s="4" t="inlineStr">
        <is>
          <t>11</t>
        </is>
      </c>
      <c r="E170" s="5" t="inlineStr">
        <is>
          <t>6.000,00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=HYPERLINK("https://www.leilaoonline.net/lote/detalhe/270579", "11077")</f>
      </c>
      <c r="B171" s="4" t="s">
        <f>=HYPERLINK("https://www.leilaoonline.net/lote/detalhe/270579", "ÔNIBUS IMP. MERCEDES BENZ OF 1620; ANO 1995/1995; VERDE. - FR97485. - LOC. BARRA ")</f>
      </c>
      <c r="C171" s="4" t="inlineStr">
        <is>
          <t>Não vendido</t>
        </is>
      </c>
      <c r="D171" s="4" t="inlineStr">
        <is>
          <t>18</t>
        </is>
      </c>
      <c r="E171" s="5" t="inlineStr">
        <is>
          <t>20.500,00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=HYPERLINK("https://www.leilaoonline.net/lote/detalhe/270768", "11078")</f>
      </c>
      <c r="B172" s="4" t="s">
        <f>=HYPERLINK("https://www.leilaoonline.net/lote/detalhe/270768", "ELIMINADOR DE SOQUEIRA AGRO MATÃO; ANO 2019. - FR134161. - LOC. LEME ")</f>
      </c>
      <c r="C172" s="4" t="inlineStr">
        <is>
          <t>Vendido</t>
        </is>
      </c>
      <c r="D172" s="4" t="inlineStr">
        <is>
          <t>3</t>
        </is>
      </c>
      <c r="E172" s="5" t="inlineStr">
        <is>
          <t>2.000,00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=HYPERLINK("https://www.leilaoonline.net/lote/detalhe/270774", "11079")</f>
      </c>
      <c r="B173" s="4" t="s">
        <f>=HYPERLINK("https://www.leilaoonline.net/lote/detalhe/270774", "GERADOR DE ENERGIA A DIESEL. - PAT.185259. - LOC.TARUMÃ")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3.500,00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=HYPERLINK("https://www.leilaoonline.net/lote/detalhe/270989", "11080")</f>
      </c>
      <c r="B174" s="4" t="s">
        <f>=HYPERLINK("https://www.leilaoonline.net/lote/detalhe/270989", "APROX. 20 TON. DE TUBO DE EVAPORAÇÃO; COMP. DOS TUBOS APROX. 2 METROS; (VENDA POR KILO); SERÁ VENDIDO COMO SUCATA DE AÇO CARBONO. - S/FR. - LOC. BARRA")</f>
      </c>
      <c r="C174" s="4" t="inlineStr">
        <is>
          <t>Vendido</t>
        </is>
      </c>
      <c r="D174" s="4" t="inlineStr">
        <is>
          <t>5</t>
        </is>
      </c>
      <c r="E174" s="5" t="inlineStr">
        <is>
          <t>28.600,00</t>
        </is>
      </c>
      <c r="F174" s="4" t="inlineStr">
        <is>
          <t>0.10</t>
        </is>
      </c>
    </row>
    <row collapsed="false" customFormat="false" customHeight="false" hidden="false" ht="12.1" outlineLevel="0" r="175">
      <c r="A175" s="5" t="s">
        <f>=HYPERLINK("https://www.leilaoonline.net/lote/detalhe/271039", "11081")</f>
      </c>
      <c r="B175" s="4" t="s">
        <f>=HYPERLINK("https://www.leilaoonline.net/lote/detalhe/271039", "LOTE CONTENDO 04 CALANDRAS; LARG. APROX. 4,30MTS ; ALT. APROX. 1,20; PESO APROX. 50 TON. - S/FR. - LOC. BARRA ")</f>
      </c>
      <c r="C175" s="4" t="inlineStr">
        <is>
          <t>Não vendido</t>
        </is>
      </c>
      <c r="D175" s="4" t="inlineStr">
        <is>
          <t>3</t>
        </is>
      </c>
      <c r="E175" s="5" t="inlineStr">
        <is>
          <t>52.000,00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=HYPERLINK("https://www.leilaoonline.net/lote/detalhe/271054", "11082")</f>
      </c>
      <c r="B176" s="4" t="s">
        <f>=HYPERLINK("https://www.leilaoonline.net/lote/detalhe/271054", "TRATOR VALTRA BH 210I 4x4; ANO 2014. - FR71887. - LOC. BARRA")</f>
      </c>
      <c r="C176" s="4" t="inlineStr">
        <is>
          <t>Não vendido</t>
        </is>
      </c>
      <c r="D176" s="4" t="inlineStr">
        <is>
          <t>27</t>
        </is>
      </c>
      <c r="E176" s="5" t="inlineStr">
        <is>
          <t>102.000,00</t>
        </is>
      </c>
      <c r="F176" s="4" t="inlineStr">
        <is>
          <t>2000.00</t>
        </is>
      </c>
    </row>
    <row collapsed="false" customFormat="false" customHeight="false" hidden="false" ht="12.1" outlineLevel="0" r="177">
      <c r="A177" s="5" t="s">
        <f>=HYPERLINK("https://www.leilaoonline.net/lote/detalhe/269705", "11510")</f>
      </c>
      <c r="B177" s="4" t="s">
        <f>=HYPERLINK("https://www.leilaoonline.net/lote/detalhe/269705", " CARRETA DISTRIBUIDORA DE TORTA; ANO 2011. - FR139990. - LOC. BOM RETIRO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=HYPERLINK("https://www.leilaoonline.net/lote/detalhe/271057", "11540")</f>
      </c>
      <c r="B178" s="4" t="s">
        <f>=HYPERLINK("https://www.leilaoonline.net/lote/detalhe/271057", "SUCATA DE CAMINHÃO MERCEDES BENZ 1718; ANO 2010/2011; BRANCA; (C/ BAÚ OFICINA JHC). - FR14801178. - ( VENDA S/ DOCUMENTO). - LOC. SANTA ELISA 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35.000,00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=HYPERLINK("https://www.leilaoonline.net/lote/detalhe/270329", "11639")</f>
      </c>
      <c r="B179" s="4" t="s">
        <f>=HYPERLINK("https://www.leilaoonline.net/lote/detalhe/270329", "SUCATA DE CAMINHÃO. - (VENDA SEM DOCUMENTO) - FR120741. - LOC. JUNQUEIRA")</f>
      </c>
      <c r="C179" s="4" t="inlineStr">
        <is>
          <t>Vendido</t>
        </is>
      </c>
      <c r="D179" s="4" t="inlineStr">
        <is>
          <t>6</t>
        </is>
      </c>
      <c r="E179" s="5" t="inlineStr">
        <is>
          <t>3.250,00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=HYPERLINK("https://www.leilaoonline.net/lote/detalhe/270330", "11641")</f>
      </c>
      <c r="B180" s="4" t="s">
        <f>=HYPERLINK("https://www.leilaoonline.net/lote/detalhe/270330", "SUCATA CHASSI DE CAMINHÃO. - S/FR. - LOC. JUNQUEIRA")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=HYPERLINK("https://www.leilaoonline.net/lote/detalhe/270568", "11670")</f>
      </c>
      <c r="B181" s="4" t="s">
        <f>=HYPERLINK("https://www.leilaoonline.net/lote/detalhe/270568", "TRATOR CASE MAXXUM 180 4X4; ANO 2010. - FR49544. - LOC. IPAUSSU ")</f>
      </c>
      <c r="C181" s="4" t="inlineStr">
        <is>
          <t>Vendido</t>
        </is>
      </c>
      <c r="D181" s="4" t="inlineStr">
        <is>
          <t>58</t>
        </is>
      </c>
      <c r="E181" s="5" t="inlineStr">
        <is>
          <t>87.000,00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=HYPERLINK("https://www.leilaoonline.net/lote/detalhe/270567", "11671")</f>
      </c>
      <c r="B182" s="4" t="s">
        <f>=HYPERLINK("https://www.leilaoonline.net/lote/detalhe/270567", "TRATOR JOHN DEERE 7185J; ANO 2011 - (SUCATEADO). - FR102972. - LOC. IPAUSSU ")</f>
      </c>
      <c r="C182" s="4" t="inlineStr">
        <is>
          <t>Vendido</t>
        </is>
      </c>
      <c r="D182" s="4" t="inlineStr">
        <is>
          <t>17</t>
        </is>
      </c>
      <c r="E182" s="5" t="inlineStr">
        <is>
          <t>32.000,00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=HYPERLINK("https://www.leilaoonline.net/lote/detalhe/270569", "11673")</f>
      </c>
      <c r="B183" s="4" t="s">
        <f>=HYPERLINK("https://www.leilaoonline.net/lote/detalhe/270569", "PULVERIZADOR DE INJEÇÃO NO SOLO; ANO 2018. - FR48281. - LOC. IPAUSSU")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=HYPERLINK("https://www.leilaoonline.net/lote/detalhe/270154", "11692")</f>
      </c>
      <c r="B184" s="4" t="s">
        <f>=HYPERLINK("https://www.leilaoonline.net/lote/detalhe/270154", "COLHEDORA JOHN DEERE 3522 L; ANO 2015. - FRFR188014. - LOC. GASA")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10.000,00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=HYPERLINK("https://www.leilaoonline.net/lote/detalhe/269632", "11698")</f>
      </c>
      <c r="B185" s="4" t="s">
        <f>=HYPERLINK("https://www.leilaoonline.net/lote/detalhe/269632", "TRATOR CASE MX 260 MAGNUM 4x4; ANO 2017. - FR23243. - LOC. GASA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70.000,00</t>
        </is>
      </c>
      <c r="F185" s="4" t="inlineStr">
        <is>
          <t>2500.00</t>
        </is>
      </c>
    </row>
    <row collapsed="false" customFormat="false" customHeight="false" hidden="false" ht="12.1" outlineLevel="0" r="186">
      <c r="A186" s="5" t="s">
        <f>=HYPERLINK("https://www.leilaoonline.net/lote/detalhe/271060", "11722")</f>
      </c>
      <c r="B186" s="4" t="s">
        <f>=HYPERLINK("https://www.leilaoonline.net/lote/detalhe/271060", "CAMINHÃO MERCEDES BENZ AXOR 3344S 6X4; ANO 2014/2014; BRANCA. - FR119957. - LOC. JATAI")</f>
      </c>
      <c r="C186" s="4" t="inlineStr">
        <is>
          <t>Vendido</t>
        </is>
      </c>
      <c r="D186" s="4" t="inlineStr">
        <is>
          <t>32</t>
        </is>
      </c>
      <c r="E186" s="5" t="inlineStr">
        <is>
          <t>84.000,00</t>
        </is>
      </c>
      <c r="F186" s="4" t="inlineStr">
        <is>
          <t>2000.00</t>
        </is>
      </c>
    </row>
    <row collapsed="false" customFormat="false" customHeight="false" hidden="false" ht="12.1" outlineLevel="0" r="187">
      <c r="A187" s="5" t="s">
        <f>=HYPERLINK("https://www.leilaoonline.net/lote/detalhe/271058", "11921")</f>
      </c>
      <c r="B187" s="4" t="s">
        <f>=HYPERLINK("https://www.leilaoonline.net/lote/detalhe/271058", " CAMINHÃO SCANIA/ P124 CB 6X4 NZ 420, ANO 2005/2005 - BRANCO - FR19805 - (VENDA SOMENTE PARA COMPRADORES DO ESTADO DE SÃO PAULO) - LOC.: PARAÍSO")</f>
      </c>
      <c r="C187" s="4" t="inlineStr">
        <is>
          <t>Vendido</t>
        </is>
      </c>
      <c r="D187" s="4" t="inlineStr">
        <is>
          <t>50</t>
        </is>
      </c>
      <c r="E187" s="5" t="inlineStr">
        <is>
          <t>65.000,00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=HYPERLINK("https://www.leilaoonline.net/lote/detalhe/270014", "11950")</f>
      </c>
      <c r="B188" s="4" t="s">
        <f>=HYPERLINK("https://www.leilaoonline.net/lote/detalhe/270014", "TRATOR VALTRA BH 210; ANO 2013. - FR61027. - LOC. DIAMANTE ")</f>
      </c>
      <c r="C188" s="4" t="inlineStr">
        <is>
          <t>Vendido</t>
        </is>
      </c>
      <c r="D188" s="4" t="inlineStr">
        <is>
          <t>74</t>
        </is>
      </c>
      <c r="E188" s="5" t="inlineStr">
        <is>
          <t>103.000,00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=HYPERLINK("https://www.leilaoonline.net/lote/detalhe/270123", "11951")</f>
      </c>
      <c r="B189" s="4" t="s">
        <f>=HYPERLINK("https://www.leilaoonline.net/lote/detalhe/270123", "TRANSBORDO ATA ANTONIOSI 12T; ANO 2010. - FR98669. - LOC. BARRA")</f>
      </c>
      <c r="C189" s="4" t="inlineStr">
        <is>
          <t>Não vendido</t>
        </is>
      </c>
      <c r="D189" s="4" t="inlineStr">
        <is>
          <t>8</t>
        </is>
      </c>
      <c r="E189" s="5" t="inlineStr">
        <is>
          <t>14.000,00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=HYPERLINK("https://www.leilaoonline.net/lote/detalhe/270124", "11953")</f>
      </c>
      <c r="B190" s="4" t="s">
        <f>=HYPERLINK("https://www.leilaoonline.net/lote/detalhe/270124", "TRANSBORDO ANTONIOSI ATA 12000; ANO 2010. - S/FR - LOC. BARRA ")</f>
      </c>
      <c r="C190" s="4" t="inlineStr">
        <is>
          <t>Não vendido</t>
        </is>
      </c>
      <c r="D190" s="4" t="inlineStr">
        <is>
          <t>11</t>
        </is>
      </c>
      <c r="E190" s="5" t="inlineStr">
        <is>
          <t>15.500,00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=HYPERLINK("https://www.leilaoonline.net/lote/detalhe/270015", "11954")</f>
      </c>
      <c r="B191" s="4" t="s">
        <f>=HYPERLINK("https://www.leilaoonline.net/lote/detalhe/270015", "PONTE ROLANTE MAUSA 15 TON.; MEDINDO 20X5 METROS. - S/FR. - LOC. PARAISO")</f>
      </c>
      <c r="C191" s="4" t="inlineStr">
        <is>
          <t>Não vendido</t>
        </is>
      </c>
      <c r="D191" s="4" t="inlineStr">
        <is>
          <t>51</t>
        </is>
      </c>
      <c r="E191" s="5" t="inlineStr">
        <is>
          <t>73.000,00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=HYPERLINK("https://www.leilaoonline.net/lote/detalhe/269633", "11975")</f>
      </c>
      <c r="B192" s="4" t="s">
        <f>=HYPERLINK("https://www.leilaoonline.net/lote/detalhe/269633", " TRATOR CASE 260; ANO 2017. - FR20373 - LOC. SANTA CANDIDA")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80.000,00</t>
        </is>
      </c>
      <c r="F192" s="4" t="inlineStr">
        <is>
          <t>2500.00</t>
        </is>
      </c>
    </row>
    <row collapsed="false" customFormat="false" customHeight="false" hidden="false" ht="12.1" outlineLevel="0" r="193">
      <c r="A193" s="5" t="s">
        <f>=HYPERLINK("https://www.leilaoonline.net/lote/detalhe/269635", "11997")</f>
      </c>
      <c r="B193" s="4" t="s">
        <f>=HYPERLINK("https://www.leilaoonline.net/lote/detalhe/269635", "CARRETA DE TORTA E ESTRUTURA IMPLEMENTO C/ TANQUE BRANCO ACLOPADO. - FR103054. - LOC. BARRA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2.000,00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=HYPERLINK("https://www.leilaoonline.net/lote/detalhe/270770", "12014")</f>
      </c>
      <c r="B194" s="4" t="s">
        <f>=HYPERLINK("https://www.leilaoonline.net/lote/detalhe/270770", " 2 CLIMATIZADORES ADIABÁTICO; ANO 2009. - PT299105/ PT299170. - LOC. RIO BRILHANTE")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=HYPERLINK("https://www.leilaoonline.net/lote/detalhe/270769", "12015")</f>
      </c>
      <c r="B195" s="4" t="s">
        <f>=HYPERLINK("https://www.leilaoonline.net/lote/detalhe/270769", " BALANÇA TOLEDO MOD.9500 CAP50KG; ANO 2008. - PT299114. - LOC. RIO BRILHANTE")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=HYPERLINK("https://www.leilaoonline.net/lote/detalhe/270158", "12026")</f>
      </c>
      <c r="B196" s="4" t="s">
        <f>=HYPERLINK("https://www.leilaoonline.net/lote/detalhe/270158", "TRANSBORDO CIVEMASA TAC 13000, ANO 2008 - FR9004122 - LOC. PASSATEMPO")</f>
      </c>
      <c r="C196" s="4" t="inlineStr">
        <is>
          <t>Não vendido</t>
        </is>
      </c>
      <c r="D196" s="4" t="inlineStr">
        <is>
          <t>1</t>
        </is>
      </c>
      <c r="E196" s="5" t="inlineStr">
        <is>
          <t>10.000,00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=HYPERLINK("https://www.leilaoonline.net/lote/detalhe/270160", "12027")</f>
      </c>
      <c r="B197" s="4" t="s">
        <f>=HYPERLINK("https://www.leilaoonline.net/lote/detalhe/270160", "TRANSBORDO CIVEMASA TAC 13000, ANO 2007 - FR5004752 - LOC. PASSATEMPO")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10.000,00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=HYPERLINK("https://www.leilaoonline.net/lote/detalhe/270159", "12028")</f>
      </c>
      <c r="B198" s="4" t="s">
        <f>=HYPERLINK("https://www.leilaoonline.net/lote/detalhe/270159", "TRANSBORDO CIVEMASA TAC 13000, ANO 2008 - FR9004041 - LOC. PASSATEMPO")</f>
      </c>
      <c r="C198" s="4" t="inlineStr">
        <is>
          <t>Não vendido</t>
        </is>
      </c>
      <c r="D198" s="4" t="inlineStr">
        <is>
          <t>2</t>
        </is>
      </c>
      <c r="E198" s="5" t="inlineStr">
        <is>
          <t>11.000,00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=HYPERLINK("https://www.leilaoonline.net/lote/detalhe/270296", "12029")</f>
      </c>
      <c r="B199" s="4" t="s">
        <f>=HYPERLINK("https://www.leilaoonline.net/lote/detalhe/270296", "TRANSBORDO MEGATEC 10.500T, ANO 2013 - FR4445204 - LOC. CAARAPÓ")</f>
      </c>
      <c r="C199" s="4" t="inlineStr">
        <is>
          <t>Vendido</t>
        </is>
      </c>
      <c r="D199" s="4" t="inlineStr">
        <is>
          <t>13</t>
        </is>
      </c>
      <c r="E199" s="5" t="inlineStr">
        <is>
          <t>22.000,00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=HYPERLINK("https://www.leilaoonline.net/lote/detalhe/270336", "12032")</f>
      </c>
      <c r="B200" s="4" t="s">
        <f>=HYPERLINK("https://www.leilaoonline.net/lote/detalhe/270336", " HIDRO ROLL HIRRIGABRASIL; ANO 2008. - FR5005101. - LOC. CAARAPÓ")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=HYPERLINK("https://www.leilaoonline.net/lote/detalhe/271055", "12033")</f>
      </c>
      <c r="B201" s="4" t="s">
        <f>=HYPERLINK("https://www.leilaoonline.net/lote/detalhe/271055", " PLANTADORA DE CANA TMA 2 LINHAS; ANO 2014. - FR140033. - LOC. CAARAPÓ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=HYPERLINK("https://www.leilaoonline.net/lote/detalhe/270334", "12043")</f>
      </c>
      <c r="B202" s="4" t="s">
        <f>=HYPERLINK("https://www.leilaoonline.net/lote/detalhe/270334", " GRADE PESADA; ANO 2018. - FR4445328. - LOC. CAARAPÓ")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=HYPERLINK("https://www.leilaoonline.net/lote/detalhe/270335", "12048")</f>
      </c>
      <c r="B203" s="4" t="s">
        <f>=HYPERLINK("https://www.leilaoonline.net/lote/detalhe/270335", " GRADE PESADA; ANO 2018. - FR4445327. - LOC.CAARAPÓ")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1.500,00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=HYPERLINK("https://www.leilaoonline.net/lote/detalhe/270155", "12050")</f>
      </c>
      <c r="B204" s="4" t="s">
        <f>=HYPERLINK("https://www.leilaoonline.net/lote/detalhe/270155", "TRANSBORDO CIVEMASA TAC 13000, ANO 2008 - FR9004061 - LOC. PASSATEMPO")</f>
      </c>
      <c r="C204" s="4" t="inlineStr">
        <is>
          <t>Vendido</t>
        </is>
      </c>
      <c r="D204" s="4" t="inlineStr">
        <is>
          <t>7</t>
        </is>
      </c>
      <c r="E204" s="5" t="inlineStr">
        <is>
          <t>16.000,00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=HYPERLINK("https://www.leilaoonline.net/lote/detalhe/270161", "12051")</f>
      </c>
      <c r="B205" s="4" t="s">
        <f>=HYPERLINK("https://www.leilaoonline.net/lote/detalhe/270161", "TRANSBORDO CIVEMASA TAC 13000, ANO 2006 - FR5004735 - LOC. PASSATEMPO")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10.000,00</t>
        </is>
      </c>
      <c r="F205" s="4" t="inlineStr">
        <is>
          <t>1000.00</t>
        </is>
      </c>
    </row>
    <row collapsed="false" customFormat="false" customHeight="false" hidden="false" ht="12.1" outlineLevel="0" r="206">
      <c r="A206" s="5" t="s">
        <f>=HYPERLINK("https://www.leilaoonline.net/lote/detalhe/270156", "12052")</f>
      </c>
      <c r="B206" s="4" t="s">
        <f>=HYPERLINK("https://www.leilaoonline.net/lote/detalhe/270156", "TRANSBORDO CIVEMASA TAC 13000, ANO 2008 - FR9004106 - LOC. PASSATEMPO")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10.000,00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=HYPERLINK("https://www.leilaoonline.net/lote/detalhe/270162", "12054")</f>
      </c>
      <c r="B207" s="4" t="s">
        <f>=HYPERLINK("https://www.leilaoonline.net/lote/detalhe/270162", "TRANSBORDO CIVEMASA TAC 13000, ANO 2008 - FR9004020 - LOC. PASSATEMPO")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10.000,00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=HYPERLINK("https://www.leilaoonline.net/lote/detalhe/270164", "12064")</f>
      </c>
      <c r="B208" s="4" t="s">
        <f>=HYPERLINK("https://www.leilaoonline.net/lote/detalhe/270164", "TRANSBORDO CIVEMASA TAC 13000, ANO 2006 - FR4004123 - LOC. RIO BRILHANTE")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=HYPERLINK("https://www.leilaoonline.net/lote/detalhe/270163", "12068")</f>
      </c>
      <c r="B209" s="4" t="s">
        <f>=HYPERLINK("https://www.leilaoonline.net/lote/detalhe/270163", "TRANSBORDO CIVEMASA TAC 13000, ANO 2007 - FR5004744 - LOC. RIO BRILHANTE")</f>
      </c>
      <c r="C209" s="4" t="inlineStr">
        <is>
          <t>Vendido</t>
        </is>
      </c>
      <c r="D209" s="4" t="inlineStr">
        <is>
          <t>4</t>
        </is>
      </c>
      <c r="E209" s="5" t="inlineStr">
        <is>
          <t>17.000,00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=HYPERLINK("https://www.leilaoonline.net/lote/detalhe/270157", "12072")</f>
      </c>
      <c r="B210" s="4" t="s">
        <f>=HYPERLINK("https://www.leilaoonline.net/lote/detalhe/270157", "TRANSBORDO CIVEMASA TAC 13000, ANO 2007 - FR5004753 - LOC. RIO BRILHANTE")</f>
      </c>
      <c r="C210" s="4" t="inlineStr">
        <is>
          <t>Vendido</t>
        </is>
      </c>
      <c r="D210" s="4" t="inlineStr">
        <is>
          <t>2</t>
        </is>
      </c>
      <c r="E210" s="5" t="inlineStr">
        <is>
          <t>15.000,00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=HYPERLINK("https://www.leilaoonline.net/lote/detalhe/270796", "12082")</f>
      </c>
      <c r="B211" s="4" t="s">
        <f>=HYPERLINK("https://www.leilaoonline.net/lote/detalhe/270796", "4 CAIXAS PARA APLICAÇÃO OXIDO E ADUBO. - S/FR. - LOC.CAARAPÓ")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=HYPERLINK("https://www.leilaoonline.net/lote/detalhe/270797", "12083")</f>
      </c>
      <c r="B212" s="4" t="s">
        <f>=HYPERLINK("https://www.leilaoonline.net/lote/detalhe/270797", "COBRIDOR 3 LIN. DMB; ANO 2008. - FR4445005. - LOC. CAARAPÓ")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=HYPERLINK("https://www.leilaoonline.net/lote/detalhe/270795", "12084")</f>
      </c>
      <c r="B213" s="4" t="s">
        <f>=HYPERLINK("https://www.leilaoonline.net/lote/detalhe/270795", "COBRIDOR 3 LIN. DMB; ANO 2008. - FR4445034. - LOC. CAARAPÓ")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=HYPERLINK("https://www.leilaoonline.net/lote/detalhe/270788", "12085")</f>
      </c>
      <c r="B214" s="4" t="s">
        <f>=HYPERLINK("https://www.leilaoonline.net/lote/detalhe/270788", "VEJA VÍDEO!!! TRATOR VALTRA A 124L 4X4; ANO 2018. - FR4435197. - LOC.CAARAPO")</f>
      </c>
      <c r="C214" s="4" t="inlineStr">
        <is>
          <t>Vendido</t>
        </is>
      </c>
      <c r="D214" s="4" t="inlineStr">
        <is>
          <t>75</t>
        </is>
      </c>
      <c r="E214" s="5" t="inlineStr">
        <is>
          <t>113.000,00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=HYPERLINK("https://www.leilaoonline.net/lote/detalhe/270793", "12086")</f>
      </c>
      <c r="B215" s="4" t="s">
        <f>=HYPERLINK("https://www.leilaoonline.net/lote/detalhe/270793", "TRATOR JOHN DEERE 7230J; ANO 2020. - FR4435209. - LOC. CAARAPO")</f>
      </c>
      <c r="C215" s="4" t="inlineStr">
        <is>
          <t>Vendido</t>
        </is>
      </c>
      <c r="D215" s="4" t="inlineStr">
        <is>
          <t>45</t>
        </is>
      </c>
      <c r="E215" s="5" t="inlineStr">
        <is>
          <t>154.000,00</t>
        </is>
      </c>
      <c r="F215" s="4" t="inlineStr">
        <is>
          <t>2000.00</t>
        </is>
      </c>
    </row>
    <row collapsed="false" customFormat="false" customHeight="false" hidden="false" ht="12.1" outlineLevel="0" r="216">
      <c r="A216" s="5" t="s">
        <f>=HYPERLINK("https://www.leilaoonline.net/lote/detalhe/270777", "12087")</f>
      </c>
      <c r="B216" s="4" t="s">
        <f>=HYPERLINK("https://www.leilaoonline.net/lote/detalhe/270777", "CARREGADEIRA VALTRA BM100; ANO 2017. - FR4435166 / FR4445059. - LOC. CAARAPO")</f>
      </c>
      <c r="C216" s="4" t="inlineStr">
        <is>
          <t>Não vendido</t>
        </is>
      </c>
      <c r="D216" s="4" t="inlineStr">
        <is>
          <t>35</t>
        </is>
      </c>
      <c r="E216" s="5" t="inlineStr">
        <is>
          <t>122.000,00</t>
        </is>
      </c>
      <c r="F216" s="4" t="inlineStr">
        <is>
          <t>2000.00</t>
        </is>
      </c>
    </row>
    <row collapsed="false" customFormat="false" customHeight="false" hidden="false" ht="12.1" outlineLevel="0" r="217">
      <c r="A217" s="5" t="s">
        <f>=HYPERLINK("https://www.leilaoonline.net/lote/detalhe/270776", "12088")</f>
      </c>
      <c r="B217" s="4" t="s">
        <f>=HYPERLINK("https://www.leilaoonline.net/lote/detalhe/270776", "CARREGADEIRA VALTRA BM100; ANO 2016. - FR4435163 / FR4445056. - LOC. CAARAPO")</f>
      </c>
      <c r="C217" s="4" t="inlineStr">
        <is>
          <t>Não vendido</t>
        </is>
      </c>
      <c r="D217" s="4" t="inlineStr">
        <is>
          <t>50</t>
        </is>
      </c>
      <c r="E217" s="5" t="inlineStr">
        <is>
          <t>170.000,00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=HYPERLINK("https://www.leilaoonline.net/lote/detalhe/270779", "12089")</f>
      </c>
      <c r="B218" s="4" t="s">
        <f>=HYPERLINK("https://www.leilaoonline.net/lote/detalhe/270779", "VEJA VÍDEO!!! TRATOR VALTRA BH1804X4; ANO 2010. - FR4430976. - LOC. CAARAPO")</f>
      </c>
      <c r="C218" s="4" t="inlineStr">
        <is>
          <t>Vendido</t>
        </is>
      </c>
      <c r="D218" s="4" t="inlineStr">
        <is>
          <t>72</t>
        </is>
      </c>
      <c r="E218" s="5" t="inlineStr">
        <is>
          <t>110.000,00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=HYPERLINK("https://www.leilaoonline.net/lote/detalhe/270778", "12090")</f>
      </c>
      <c r="B219" s="4" t="s">
        <f>=HYPERLINK("https://www.leilaoonline.net/lote/detalhe/270778", "VEJA VÍDEO!!! TRATOR CASE MX 315 MAGNUM 4X4; ANO 2015. - FR100023. - LOC. CAARAPO ")</f>
      </c>
      <c r="C219" s="4" t="inlineStr">
        <is>
          <t>Não vendido</t>
        </is>
      </c>
      <c r="D219" s="4" t="inlineStr">
        <is>
          <t>6</t>
        </is>
      </c>
      <c r="E219" s="5" t="inlineStr">
        <is>
          <t>100.000,00</t>
        </is>
      </c>
      <c r="F219" s="4" t="inlineStr">
        <is>
          <t>2500.00</t>
        </is>
      </c>
    </row>
    <row collapsed="false" customFormat="false" customHeight="false" hidden="false" ht="12.1" outlineLevel="0" r="220">
      <c r="A220" s="5" t="s">
        <f>=HYPERLINK("https://www.leilaoonline.net/lote/detalhe/270794", "12091")</f>
      </c>
      <c r="B220" s="4" t="s">
        <f>=HYPERLINK("https://www.leilaoonline.net/lote/detalhe/270794", "ENLEIRADEIRA DE PALHA; ANO 2010. - FR4445121. - LOC.CAARAPÓ")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250.00</t>
        </is>
      </c>
    </row>
    <row collapsed="false" customFormat="false" customHeight="false" hidden="false" ht="12.1" outlineLevel="0" r="221">
      <c r="A221" s="5" t="s">
        <f>=HYPERLINK("https://www.leilaoonline.net/lote/detalhe/270798", "12092")</f>
      </c>
      <c r="B221" s="4" t="s">
        <f>=HYPERLINK("https://www.leilaoonline.net/lote/detalhe/270798", "TRANSBORDO CIVEMASA TAC 13000; ANO 2008. - FR5004791. - LOC. PASSATEMPO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=HYPERLINK("https://www.leilaoonline.net/lote/detalhe/270805", "12093")</f>
      </c>
      <c r="B222" s="4" t="s">
        <f>=HYPERLINK("https://www.leilaoonline.net/lote/detalhe/270805", "CARRETINHA ; ANO 2016. - FR9003155. - LOC. RIO BRILHANTE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=HYPERLINK("https://www.leilaoonline.net/lote/detalhe/270804", "12094")</f>
      </c>
      <c r="B223" s="4" t="s">
        <f>=HYPERLINK("https://www.leilaoonline.net/lote/detalhe/270804", "CAMINHÃO MERCEDES BENZ AXOR 3344S 6X4; ANO 2014/2014; BRANCA. - FR131249. - LOC. RIO BRILHANTE ")</f>
      </c>
      <c r="C223" s="4" t="inlineStr">
        <is>
          <t>Vendido</t>
        </is>
      </c>
      <c r="D223" s="4" t="inlineStr">
        <is>
          <t>51</t>
        </is>
      </c>
      <c r="E223" s="5" t="inlineStr">
        <is>
          <t>80.000,00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=HYPERLINK("https://www.leilaoonline.net/lote/detalhe/270799", "12095")</f>
      </c>
      <c r="B224" s="4" t="s">
        <f>=HYPERLINK("https://www.leilaoonline.net/lote/detalhe/270799", "02 SUBSOLADOR CIVEMASA ; ANO 2011. - FR9003070/9003081. - LOC. RIO BRILHANTE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2.500,00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=HYPERLINK("https://www.leilaoonline.net/lote/detalhe/270332", "31312")</f>
      </c>
      <c r="B225" s="4" t="s">
        <f>=HYPERLINK("https://www.leilaoonline.net/lote/detalhe/270332", "DISTRIBUIDORA DE ADUBO 3 HASTE DMB; ANO 2014. - FR9003126. - LOC RIO BRILHANTE")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3.000,00</t>
        </is>
      </c>
      <c r="F225" s="4" t="inlineStr">
        <is>
          <t>500.00</t>
        </is>
      </c>
    </row>
    <row collapsed="false" customFormat="false" customHeight="false" hidden="false" ht="12.1" outlineLevel="0" r="226">
      <c r="A226" s="5" t="s">
        <f>=HYPERLINK("https://www.leilaoonline.net/lote/detalhe/270132", "31313")</f>
      </c>
      <c r="B226" s="4" t="s">
        <f>=HYPERLINK("https://www.leilaoonline.net/lote/detalhe/270132", "PLANTADORA CANA PICADA 225 CV 17M 6TO; ANO 2013.- PT294454. - LOC. RIO BRILHANTE 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10.000,00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=HYPERLINK("https://www.leilaoonline.net/lote/detalhe/270133", "31323")</f>
      </c>
      <c r="B227" s="4" t="s">
        <f>=HYPERLINK("https://www.leilaoonline.net/lote/detalhe/270133", "PLANTADORA CANA PICADA 225 CV 17M 6TO; ANO 2013.- PT294782. - LOC. RIO BRILHANTE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10.000,00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=HYPERLINK("https://www.leilaoonline.net/lote/detalhe/269636", "31391")</f>
      </c>
      <c r="B228" s="4" t="s">
        <f>=HYPERLINK("https://www.leilaoonline.net/lote/detalhe/269636", "TRANSBORDO SANTA IZABEL TCS 12T; ANO 2010. - FR68027. - LOC. JATAÍ")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=HYPERLINK("https://www.leilaoonline.net/lote/detalhe/269692", "31457")</f>
      </c>
      <c r="B229" s="4" t="s">
        <f>=HYPERLINK("https://www.leilaoonline.net/lote/detalhe/269692", "PREPARADOR DE SOLO PSPC ANTONIOSI; ANO 2013. - FR140003. - LOC. BOM RETIRO")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=HYPERLINK("https://www.leilaoonline.net/lote/detalhe/270134", "31733")</f>
      </c>
      <c r="B230" s="4" t="s">
        <f>=HYPERLINK("https://www.leilaoonline.net/lote/detalhe/270134", "SUCATA DE TRATOR JOHN DEERE 7210J 4X4; ANO 2016. - FR4435154. - LOC. CAARAPÓ")</f>
      </c>
      <c r="C230" s="4" t="inlineStr">
        <is>
          <t>Vendido</t>
        </is>
      </c>
      <c r="D230" s="4" t="inlineStr">
        <is>
          <t>20</t>
        </is>
      </c>
      <c r="E230" s="5" t="inlineStr">
        <is>
          <t>39.000,00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=HYPERLINK("https://www.leilaoonline.net/lote/detalhe/270135", "32089")</f>
      </c>
      <c r="B231" s="4" t="s">
        <f>=HYPERLINK("https://www.leilaoonline.net/lote/detalhe/270135", "3 SILOS NAS MEDIDAS: (Nº 1 CAP. 193M³ MED. 0,80X6,35X12M SAI-LP-0009). - (Nº 2 CAP. 203M³ MED. 0,80X5,46X12,74M SAI-LP-0010). - (Nº 3 CAP. 193M³ MED. 0,80X6,35X12M SAI-LP-0011). - 01 TORRE ELEVADORA . - LOC. LAGOA DA PRATA")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100.000,00</t>
        </is>
      </c>
      <c r="F231" s="4" t="inlineStr">
        <is>
          <t>2000.00</t>
        </is>
      </c>
    </row>
    <row collapsed="false" customFormat="false" customHeight="false" hidden="false" ht="12.1" outlineLevel="0" r="232">
      <c r="A232" s="5" t="s">
        <f>=HYPERLINK("https://www.leilaoonline.net/lote/detalhe/269642", "32266")</f>
      </c>
      <c r="B232" s="4" t="s">
        <f>=HYPERLINK("https://www.leilaoonline.net/lote/detalhe/269642", "TRANSBORDO SANTA IZABEL TCS 12T; ANO 2010. - FR68029. - LOC. JATAÍ")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10.000,00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=HYPERLINK("https://www.leilaoonline.net/lote/detalhe/269637", "32267")</f>
      </c>
      <c r="B233" s="4" t="s">
        <f>=HYPERLINK("https://www.leilaoonline.net/lote/detalhe/269637", "TRANSBORDO SMR 10500 10T; ANO 2008. - FR164206. - LOC. JATAÍ")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=HYPERLINK("https://www.leilaoonline.net/lote/detalhe/270129", "33020")</f>
      </c>
      <c r="B234" s="4" t="s">
        <f>=HYPERLINK("https://www.leilaoonline.net/lote/detalhe/270129", "ENLEIRADOR PALHA DUPLO CANA 17 ROD POT 65CV. - FR5003076. - LOC. LAGOA DA PRATA 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=HYPERLINK("https://www.leilaoonline.net/lote/detalhe/270136", "33026")</f>
      </c>
      <c r="B235" s="4" t="s">
        <f>=HYPERLINK("https://www.leilaoonline.net/lote/detalhe/270136", "SILO. - SAI-LP-0008. - LOC. LAGOA DA PRATA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5.000,00</t>
        </is>
      </c>
      <c r="F235" s="4" t="inlineStr">
        <is>
          <t>250.00</t>
        </is>
      </c>
    </row>
    <row collapsed="false" customFormat="false" customHeight="false" hidden="false" ht="12.1" outlineLevel="0" r="236">
      <c r="A236" s="5" t="s">
        <f>=HYPERLINK("https://www.leilaoonline.net/lote/detalhe/269704", "33064")</f>
      </c>
      <c r="B236" s="4" t="s">
        <f>=HYPERLINK("https://www.leilaoonline.net/lote/detalhe/269704", "ELIMINADOR DE SOQUEIRA AGRO MATÃO; ANO 2019. - FR67202. - LOC. BOM RETIRO")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=HYPERLINK("https://www.leilaoonline.net/lote/detalhe/269703", "33066")</f>
      </c>
      <c r="B237" s="4" t="s">
        <f>=HYPERLINK("https://www.leilaoonline.net/lote/detalhe/269703", "ELIMINADOR DE SOQUEIRA AGRO MATÃO; ANO 2019. - FR38091. - LOC. BOM RETIRO")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=HYPERLINK("https://www.leilaoonline.net/lote/detalhe/269702", "33067")</f>
      </c>
      <c r="B238" s="4" t="s">
        <f>=HYPERLINK("https://www.leilaoonline.net/lote/detalhe/269702", "ELIMINADOR DE SOQUEIRA AGRO MATÃO; ANO 2019. - FR38092. - LOC. BOM RETIRO")</f>
      </c>
      <c r="C238" s="4" t="inlineStr">
        <is>
          <t>Vendido</t>
        </is>
      </c>
      <c r="D238" s="4" t="inlineStr">
        <is>
          <t>2</t>
        </is>
      </c>
      <c r="E238" s="5" t="inlineStr">
        <is>
          <t>2.750,00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=HYPERLINK("https://www.leilaoonline.net/lote/detalhe/269695", "33068")</f>
      </c>
      <c r="B239" s="4" t="s">
        <f>=HYPERLINK("https://www.leilaoonline.net/lote/detalhe/269695", "ELIMINADOR DE SOQUEIRA AGRO MATÃO; ANO 2019. - FR57435. - LOC. BOM RETIRO")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2.500,00</t>
        </is>
      </c>
      <c r="F239" s="4" t="inlineStr">
        <is>
          <t>250.00</t>
        </is>
      </c>
    </row>
    <row collapsed="false" customFormat="false" customHeight="false" hidden="false" ht="12.1" outlineLevel="0" r="240">
      <c r="A240" s="5" t="s">
        <f>=HYPERLINK("https://www.leilaoonline.net/lote/detalhe/269700", "33070")</f>
      </c>
      <c r="B240" s="4" t="s">
        <f>=HYPERLINK("https://www.leilaoonline.net/lote/detalhe/269700", "ELIMINADOR DE SOQUEIRA AGRO MATÃO; ANO 2019. - FR25282. - LOC. BOM RETIRO")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250.00</t>
        </is>
      </c>
    </row>
    <row collapsed="false" customFormat="false" customHeight="false" hidden="false" ht="12.1" outlineLevel="0" r="241">
      <c r="A241" s="5" t="s">
        <f>=HYPERLINK("https://www.leilaoonline.net/lote/detalhe/269697", "33071")</f>
      </c>
      <c r="B241" s="4" t="s">
        <f>=HYPERLINK("https://www.leilaoonline.net/lote/detalhe/269697", "ELIMINADOR DE SOQUEIRA AGRO MATÃO; ANO 2019. - FR25283. - LOC. BOM RETIRO")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=HYPERLINK("https://www.leilaoonline.net/lote/detalhe/269701", "33073")</f>
      </c>
      <c r="B242" s="4" t="s">
        <f>=HYPERLINK("https://www.leilaoonline.net/lote/detalhe/269701", "HIDRO ROLL METALMAG (ROLÃO) ANO 2006. - FR67126. - LOC. BOM RETIRO")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3.500,00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=HYPERLINK("https://www.leilaoonline.net/lote/detalhe/269641", "33095")</f>
      </c>
      <c r="B243" s="4" t="s">
        <f>=HYPERLINK("https://www.leilaoonline.net/lote/detalhe/269641", "CARRETA DIS. TORTA SPANDER; ANO 2012. - FR7003099. - LOC. LEME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2.500,00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=HYPERLINK("https://www.leilaoonline.net/lote/detalhe/270027", "33202")</f>
      </c>
      <c r="B244" s="4" t="s">
        <f>=HYPERLINK("https://www.leilaoonline.net/lote/detalhe/270027", " REBOQUE FNC FRUEHAUF; ANO 1986/1986; AZUL; COM CARRETEL HIDRO ROLL. - FR81931/FR88924. - LOC. GASA (MODAL) ")</f>
      </c>
      <c r="C244" s="4" t="inlineStr">
        <is>
          <t>Vendido</t>
        </is>
      </c>
      <c r="D244" s="4" t="inlineStr">
        <is>
          <t>3</t>
        </is>
      </c>
      <c r="E244" s="5" t="inlineStr">
        <is>
          <t>7.000,00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=HYPERLINK("https://www.leilaoonline.net/lote/detalhe/269698", "33357")</f>
      </c>
      <c r="B245" s="4" t="s">
        <f>=HYPERLINK("https://www.leilaoonline.net/lote/detalhe/269698", " SULCADOR 2 LIN. CIVEMASA; ANO 2018. - FR140063. - LOC. BOM RETIRO")</f>
      </c>
      <c r="C245" s="4" t="inlineStr">
        <is>
          <t>Vendido</t>
        </is>
      </c>
      <c r="D245" s="4" t="inlineStr">
        <is>
          <t>4</t>
        </is>
      </c>
      <c r="E245" s="5" t="inlineStr">
        <is>
          <t>1.600,00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=HYPERLINK("https://www.leilaoonline.net/lote/detalhe/269694", "33358")</f>
      </c>
      <c r="B246" s="4" t="s">
        <f>=HYPERLINK("https://www.leilaoonline.net/lote/detalhe/269694", " CULTIVADOR 2L CARDERROLI; ANO 2018. - FR140049. - LOC. BOM RETIRO ")</f>
      </c>
      <c r="C246" s="4" t="inlineStr">
        <is>
          <t>Vendido</t>
        </is>
      </c>
      <c r="D246" s="4" t="inlineStr">
        <is>
          <t>3</t>
        </is>
      </c>
      <c r="E246" s="5" t="inlineStr">
        <is>
          <t>1.400,00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=HYPERLINK("https://www.leilaoonline.net/lote/detalhe/269696", "33362")</f>
      </c>
      <c r="B247" s="4" t="s">
        <f>=HYPERLINK("https://www.leilaoonline.net/lote/detalhe/269696", " SULCADOR 2 LINHAS CIVEMASA; ANO 2019. - FR25224. - LOC. BOM RETIRO 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1.500,00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=HYPERLINK("https://www.leilaoonline.net/lote/detalhe/269699", "33363")</f>
      </c>
      <c r="B248" s="4" t="s">
        <f>=HYPERLINK("https://www.leilaoonline.net/lote/detalhe/269699", " CULTIVADOR 2L CARDERROLI; ANO 2018. - FR140045. - LOC. BOM RETIRO ")</f>
      </c>
      <c r="C248" s="4" t="inlineStr">
        <is>
          <t>Vendido</t>
        </is>
      </c>
      <c r="D248" s="4" t="inlineStr">
        <is>
          <t>11</t>
        </is>
      </c>
      <c r="E248" s="5" t="inlineStr">
        <is>
          <t>3.000,00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=HYPERLINK("https://www.leilaoonline.net/lote/detalhe/269693", "33364")</f>
      </c>
      <c r="B249" s="4" t="s">
        <f>=HYPERLINK("https://www.leilaoonline.net/lote/detalhe/269693", " CULTIVADOR 2L CARDERROLI; ANO 2018. - FR140048. - LOC. BOM RETIRO ")</f>
      </c>
      <c r="C249" s="4" t="inlineStr">
        <is>
          <t>Vendido</t>
        </is>
      </c>
      <c r="D249" s="4" t="inlineStr">
        <is>
          <t>4</t>
        </is>
      </c>
      <c r="E249" s="5" t="inlineStr">
        <is>
          <t>1.600,00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=HYPERLINK("https://www.leilaoonline.net/lote/detalhe/270153", "33413")</f>
      </c>
      <c r="B250" s="4" t="s">
        <f>=HYPERLINK("https://www.leilaoonline.net/lote/detalhe/270153", "COLHEDORA JOHN DEERE 3522; ANO 2013. - FR9002021. - LOC. RIO BRILHANTE")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15.000,00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=HYPERLINK("https://www.leilaoonline.net/lote/detalhe/270331", "33560")</f>
      </c>
      <c r="B251" s="4" t="s">
        <f>=HYPERLINK("https://www.leilaoonline.net/lote/detalhe/270331", "PLANTADORA TMA. - FR92867. - LOC.JUNQUEIRA")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=HYPERLINK("https://www.leilaoonline.net/lote/detalhe/270126", "33588")</f>
      </c>
      <c r="B252" s="4" t="s">
        <f>=HYPERLINK("https://www.leilaoonline.net/lote/detalhe/270126", "CARRETA TRANSP. TUBOS VIN.; ANO 2010. - FR25441. - LOC. SANTA HELENA ")</f>
      </c>
      <c r="C252" s="4" t="inlineStr">
        <is>
          <t>Vendido</t>
        </is>
      </c>
      <c r="D252" s="4" t="inlineStr">
        <is>
          <t>2</t>
        </is>
      </c>
      <c r="E252" s="5" t="inlineStr">
        <is>
          <t>2.200,00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=HYPERLINK("https://www.leilaoonline.net/lote/detalhe/269645", "33833")</f>
      </c>
      <c r="B253" s="4" t="s">
        <f>=HYPERLINK("https://www.leilaoonline.net/lote/detalhe/269645", " DISTRIBUIDOR TORTA FILTRO E ADUBO DMB; ANO 2016. - FR11003810. - LOC. VALE DO ROSÁRIO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2.500,00</t>
        </is>
      </c>
      <c r="F2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2026-06-28T22:26:25.00Z</dcterms:created>
  <dc:creator>Tellks Tecnologia</dc:creator>
  <cp:revision>0</cp:revision>
</cp:coreProperties>
</file>