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288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25 CAMINHÕES - 14 TRATORES - BALSA - PRANCHA - REBOQUES - 20 COLHEDORAS - TRANSBORDOS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01/10/2025 11:30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Eduardo Jordao Boyadjian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=HYPERLINK("https://www.leilaoonline.net/lote/detalhe/299053", "1203")</f>
      </c>
      <c r="B11" s="4" t="s">
        <f>=HYPERLINK("https://www.leilaoonline.net/lote/detalhe/299053", "REBOQUE FNV - FRUEHAUF; ANO 1982/1982; AZUL.; (TRANSBORDO). - FR46734/FR91583. -(APOIO). - LOC. COSTA PINTO ")</f>
      </c>
      <c r="C11" s="4" t="inlineStr">
        <is>
          <t>Não vendido</t>
        </is>
      </c>
      <c r="D11" s="4" t="inlineStr">
        <is>
          <t>10</t>
        </is>
      </c>
      <c r="E11" s="5" t="inlineStr">
        <is>
          <t>20.000,00</t>
        </is>
      </c>
      <c r="F11" s="4" t="inlineStr">
        <is>
          <t>1000.00</t>
        </is>
      </c>
    </row>
    <row collapsed="false" customFormat="false" customHeight="false" hidden="false" ht="12.1" outlineLevel="0" r="12">
      <c r="A12" s="5" t="s">
        <f>=HYPERLINK("https://www.leilaoonline.net/lote/detalhe/299069", "1205")</f>
      </c>
      <c r="B12" s="4" t="s">
        <f>=HYPERLINK("https://www.leilaoonline.net/lote/detalhe/299069", " REBOQUE SOUFER CA 2E; ANO 2012/2012; CINZA. - FR112326. - (APOIO) LOC. COSTA PINTO")</f>
      </c>
      <c r="C12" s="4" t="inlineStr">
        <is>
          <t>Não vendido</t>
        </is>
      </c>
      <c r="D12" s="4" t="inlineStr">
        <is>
          <t>9</t>
        </is>
      </c>
      <c r="E12" s="5" t="inlineStr">
        <is>
          <t>19.000,00</t>
        </is>
      </c>
      <c r="F12" s="4" t="inlineStr">
        <is>
          <t>1000.00</t>
        </is>
      </c>
    </row>
    <row collapsed="false" customFormat="false" customHeight="false" hidden="false" ht="12.1" outlineLevel="0" r="13">
      <c r="A13" s="5" t="s">
        <f>=HYPERLINK("https://www.leilaoonline.net/lote/detalhe/300938", "1341")</f>
      </c>
      <c r="B13" s="4" t="s">
        <f>=HYPERLINK("https://www.leilaoonline.net/lote/detalhe/300938", "TRATOR CASE 260 MAGNUM; ANO 2017. - FR116560. - LOC. JUNQUEIRA")</f>
      </c>
      <c r="C13" s="4" t="inlineStr">
        <is>
          <t>Vendido</t>
        </is>
      </c>
      <c r="D13" s="4" t="inlineStr">
        <is>
          <t>8</t>
        </is>
      </c>
      <c r="E13" s="5" t="inlineStr">
        <is>
          <t>97.500,00</t>
        </is>
      </c>
      <c r="F13" s="4" t="inlineStr">
        <is>
          <t>2500.00</t>
        </is>
      </c>
    </row>
    <row collapsed="false" customFormat="false" customHeight="false" hidden="false" ht="12.1" outlineLevel="0" r="14">
      <c r="A14" s="5" t="s">
        <f>=HYPERLINK("https://www.leilaoonline.net/lote/detalhe/300939", "1619")</f>
      </c>
      <c r="B14" s="4" t="s">
        <f>=HYPERLINK("https://www.leilaoonline.net/lote/detalhe/300939", "CALDEIRA DE INOX - S/FR. - LOC. JUNQUEIRA")</f>
      </c>
      <c r="C14" s="4" t="inlineStr">
        <is>
          <t>Vendido</t>
        </is>
      </c>
      <c r="D14" s="4" t="inlineStr">
        <is>
          <t>1</t>
        </is>
      </c>
      <c r="E14" s="5" t="inlineStr">
        <is>
          <t>100,00</t>
        </is>
      </c>
      <c r="F14" s="4" t="inlineStr">
        <is>
          <t>50.00</t>
        </is>
      </c>
    </row>
    <row collapsed="false" customFormat="false" customHeight="false" hidden="false" ht="12.1" outlineLevel="0" r="15">
      <c r="A15" s="5" t="s">
        <f>=HYPERLINK("https://www.leilaoonline.net/lote/detalhe/298094", "1741")</f>
      </c>
      <c r="B15" s="4" t="s">
        <f>=HYPERLINK("https://www.leilaoonline.net/lote/detalhe/298094", "LOTE CONTENDO 04 ROTOR. - S/PT. (PATIO DEPÓSITO JUNTO). - LOC. JATAI 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3.000,00</t>
        </is>
      </c>
      <c r="F15" s="4" t="inlineStr">
        <is>
          <t>500.00</t>
        </is>
      </c>
    </row>
    <row collapsed="false" customFormat="false" customHeight="false" hidden="false" ht="12.1" outlineLevel="0" r="16">
      <c r="A16" s="5" t="s">
        <f>=HYPERLINK("https://www.leilaoonline.net/lote/detalhe/300960", "1743")</f>
      </c>
      <c r="B16" s="4" t="s">
        <f>=HYPERLINK("https://www.leilaoonline.net/lote/detalhe/300960", "CARROCERIA PIPA GASCOM 10 MIL LTS; SÉRIE 132954. - N/A. - LOC. VALE DO ROSÁRIO ")</f>
      </c>
      <c r="C16" s="4" t="inlineStr">
        <is>
          <t>Vendido</t>
        </is>
      </c>
      <c r="D16" s="4" t="inlineStr">
        <is>
          <t>49</t>
        </is>
      </c>
      <c r="E16" s="5" t="inlineStr">
        <is>
          <t>40.500,00</t>
        </is>
      </c>
      <c r="F16" s="4" t="inlineStr">
        <is>
          <t>1000.00</t>
        </is>
      </c>
    </row>
    <row collapsed="false" customFormat="false" customHeight="false" hidden="false" ht="12.1" outlineLevel="0" r="17">
      <c r="A17" s="5" t="s">
        <f>=HYPERLINK("https://www.leilaoonline.net/lote/detalhe/300961", "1744")</f>
      </c>
      <c r="B17" s="4" t="s">
        <f>=HYPERLINK("https://www.leilaoonline.net/lote/detalhe/300961", "CARROCERIA PIPA GASCOM. - N/A. - LOC. VALE DO ROSÁRIO ")</f>
      </c>
      <c r="C17" s="4" t="inlineStr">
        <is>
          <t>Vendido</t>
        </is>
      </c>
      <c r="D17" s="4" t="inlineStr">
        <is>
          <t>38</t>
        </is>
      </c>
      <c r="E17" s="5" t="inlineStr">
        <is>
          <t>39.000,00</t>
        </is>
      </c>
      <c r="F17" s="4" t="inlineStr">
        <is>
          <t>1000.00</t>
        </is>
      </c>
    </row>
    <row collapsed="false" customFormat="false" customHeight="false" hidden="false" ht="12.1" outlineLevel="0" r="18">
      <c r="A18" s="5" t="s">
        <f>=HYPERLINK("https://www.leilaoonline.net/lote/detalhe/300962", "1745")</f>
      </c>
      <c r="B18" s="4" t="s">
        <f>=HYPERLINK("https://www.leilaoonline.net/lote/detalhe/300962", "CARROCERIA PIPA GASCOM 10 MIL LTS. - N/E. - LOC. VALE DO ROSÁRIO ")</f>
      </c>
      <c r="C18" s="4" t="inlineStr">
        <is>
          <t>Não vendido</t>
        </is>
      </c>
      <c r="D18" s="4" t="inlineStr">
        <is>
          <t>39</t>
        </is>
      </c>
      <c r="E18" s="5" t="inlineStr">
        <is>
          <t>30.500,00</t>
        </is>
      </c>
      <c r="F18" s="4" t="inlineStr">
        <is>
          <t>1000.00</t>
        </is>
      </c>
    </row>
    <row collapsed="false" customFormat="false" customHeight="false" hidden="false" ht="12.1" outlineLevel="0" r="19">
      <c r="A19" s="5" t="s">
        <f>=HYPERLINK("https://www.leilaoonline.net/lote/detalhe/300963", "1746")</f>
      </c>
      <c r="B19" s="4" t="s">
        <f>=HYPERLINK("https://www.leilaoonline.net/lote/detalhe/300963", "CARROCERIA PIPA GASCOM. - N/E. - LOC. VALE DO ROSÁRIO")</f>
      </c>
      <c r="C19" s="4" t="inlineStr">
        <is>
          <t>Vendido</t>
        </is>
      </c>
      <c r="D19" s="4" t="inlineStr">
        <is>
          <t>35</t>
        </is>
      </c>
      <c r="E19" s="5" t="inlineStr">
        <is>
          <t>27.000,00</t>
        </is>
      </c>
      <c r="F19" s="4" t="inlineStr">
        <is>
          <t>1000.00</t>
        </is>
      </c>
    </row>
    <row collapsed="false" customFormat="false" customHeight="false" hidden="false" ht="12.1" outlineLevel="0" r="20">
      <c r="A20" s="5" t="s">
        <f>=HYPERLINK("https://www.leilaoonline.net/lote/detalhe/300975", "1747")</f>
      </c>
      <c r="B20" s="4" t="s">
        <f>=HYPERLINK("https://www.leilaoonline.net/lote/detalhe/300975", "IMPLEMENTO MUNCK. - N/E. - LOC. VALE DO ROSÁRIO ")</f>
      </c>
      <c r="C20" s="4" t="inlineStr">
        <is>
          <t>Vendido</t>
        </is>
      </c>
      <c r="D20" s="4" t="inlineStr">
        <is>
          <t>65</t>
        </is>
      </c>
      <c r="E20" s="5" t="inlineStr">
        <is>
          <t>71.000,00</t>
        </is>
      </c>
      <c r="F20" s="4" t="inlineStr">
        <is>
          <t>1000.00</t>
        </is>
      </c>
    </row>
    <row collapsed="false" customFormat="false" customHeight="false" hidden="false" ht="12.1" outlineLevel="0" r="21">
      <c r="A21" s="5" t="s">
        <f>=HYPERLINK("https://www.leilaoonline.net/lote/detalhe/300974", "1748")</f>
      </c>
      <c r="B21" s="4" t="s">
        <f>=HYPERLINK("https://www.leilaoonline.net/lote/detalhe/300974", "CARROCERIA DE FERRO. - N/A. - LOC. VALE DO ROSÁRIO ")</f>
      </c>
      <c r="C21" s="4" t="inlineStr">
        <is>
          <t>Vendido</t>
        </is>
      </c>
      <c r="D21" s="4" t="inlineStr">
        <is>
          <t>20</t>
        </is>
      </c>
      <c r="E21" s="5" t="inlineStr">
        <is>
          <t>3.300,00</t>
        </is>
      </c>
      <c r="F21" s="4" t="inlineStr">
        <is>
          <t>200.00</t>
        </is>
      </c>
    </row>
    <row collapsed="false" customFormat="false" customHeight="false" hidden="false" ht="12.1" outlineLevel="0" r="22">
      <c r="A22" s="5" t="s">
        <f>=HYPERLINK("https://www.leilaoonline.net/lote/detalhe/300973", "1750")</f>
      </c>
      <c r="B22" s="4" t="s">
        <f>=HYPERLINK("https://www.leilaoonline.net/lote/detalhe/300973", "IMPLEMENTO MUNCK MOTOCANA; SÉRIE SPOMN11618. - N/A. - LOC. VALE DO ROSÁRIO ")</f>
      </c>
      <c r="C22" s="4" t="inlineStr">
        <is>
          <t>Não vendido</t>
        </is>
      </c>
      <c r="D22" s="4" t="inlineStr">
        <is>
          <t>18</t>
        </is>
      </c>
      <c r="E22" s="5" t="inlineStr">
        <is>
          <t>27.000,00</t>
        </is>
      </c>
      <c r="F22" s="4" t="inlineStr">
        <is>
          <t>1000.00</t>
        </is>
      </c>
    </row>
    <row collapsed="false" customFormat="false" customHeight="false" hidden="false" ht="12.1" outlineLevel="0" r="23">
      <c r="A23" s="5" t="s">
        <f>=HYPERLINK("https://www.leilaoonline.net/lote/detalhe/299028", "2008")</f>
      </c>
      <c r="B23" s="4" t="s">
        <f>=HYPERLINK("https://www.leilaoonline.net/lote/detalhe/299028", " HILO 27 TON. COM MOTOR E REDUTOR. - PT. 50803/50802/50801;(RECEPÇÃO); LOC. BOM RETIRO ")</f>
      </c>
      <c r="C23" s="4" t="inlineStr">
        <is>
          <t>Não vendido</t>
        </is>
      </c>
      <c r="D23" s="4" t="inlineStr">
        <is>
          <t>9</t>
        </is>
      </c>
      <c r="E23" s="5" t="inlineStr">
        <is>
          <t>10.750,00</t>
        </is>
      </c>
      <c r="F23" s="4" t="inlineStr">
        <is>
          <t>500.00</t>
        </is>
      </c>
    </row>
    <row collapsed="false" customFormat="false" customHeight="false" hidden="false" ht="12.1" outlineLevel="0" r="24">
      <c r="A24" s="5" t="s">
        <f>=HYPERLINK("https://www.leilaoonline.net/lote/detalhe/299029", "2023")</f>
      </c>
      <c r="B24" s="4" t="s">
        <f>=HYPERLINK("https://www.leilaoonline.net/lote/detalhe/299029", " EMPILHADEIRA HIDRÁULICA CAP. 1T PALETRANS  LM1016. - PT178637. - (LOGÍSTICA) LOC. BOM RETIRO")</f>
      </c>
      <c r="C24" s="4" t="inlineStr">
        <is>
          <t>Vendido</t>
        </is>
      </c>
      <c r="D24" s="4" t="inlineStr">
        <is>
          <t>10</t>
        </is>
      </c>
      <c r="E24" s="5" t="inlineStr">
        <is>
          <t>2.500,00</t>
        </is>
      </c>
      <c r="F24" s="4" t="inlineStr">
        <is>
          <t>200.00</t>
        </is>
      </c>
    </row>
    <row collapsed="false" customFormat="false" customHeight="false" hidden="false" ht="12.1" outlineLevel="0" r="25">
      <c r="A25" s="5" t="s">
        <f>=HYPERLINK("https://www.leilaoonline.net/lote/detalhe/299294", "2027")</f>
      </c>
      <c r="B25" s="4" t="s">
        <f>=HYPERLINK("https://www.leilaoonline.net/lote/detalhe/299294", " BALANÇA TOLEDO - PAT.53095 - (FÁBRICA) - LOC. BOM RETIRO")</f>
      </c>
      <c r="C25" s="4" t="inlineStr">
        <is>
          <t>Vendido</t>
        </is>
      </c>
      <c r="D25" s="4" t="inlineStr">
        <is>
          <t>7</t>
        </is>
      </c>
      <c r="E25" s="5" t="inlineStr">
        <is>
          <t>600,00</t>
        </is>
      </c>
      <c r="F25" s="4" t="inlineStr">
        <is>
          <t>50.00</t>
        </is>
      </c>
    </row>
    <row collapsed="false" customFormat="false" customHeight="false" hidden="false" ht="12.1" outlineLevel="0" r="26">
      <c r="A26" s="5" t="s">
        <f>=HYPERLINK("https://www.leilaoonline.net/lote/detalhe/299059", "2471")</f>
      </c>
      <c r="B26" s="4" t="s">
        <f>=HYPERLINK("https://www.leilaoonline.net/lote/detalhe/299059", " LOTE MOBILIARIO APROX. 27 CADEIRAS, 05 MESAS, 01 ARMÁRIO E 02 DIVISÓRIAS. - (KAIZEN) LOC. COSTA PINTO")</f>
      </c>
      <c r="C26" s="4" t="inlineStr">
        <is>
          <t>Não vendido</t>
        </is>
      </c>
      <c r="D26" s="4" t="inlineStr">
        <is>
          <t>1</t>
        </is>
      </c>
      <c r="E26" s="5" t="inlineStr">
        <is>
          <t>500,00</t>
        </is>
      </c>
      <c r="F26" s="4" t="inlineStr">
        <is>
          <t>100.00</t>
        </is>
      </c>
    </row>
    <row collapsed="false" customFormat="false" customHeight="false" hidden="false" ht="12.1" outlineLevel="0" r="27">
      <c r="A27" s="5" t="s">
        <f>=HYPERLINK("https://www.leilaoonline.net/lote/detalhe/299032", "2477")</f>
      </c>
      <c r="B27" s="4" t="s">
        <f>=HYPERLINK("https://www.leilaoonline.net/lote/detalhe/299032", " LOTE DE 10 TELEVISORES COM DEFEITO, 01 CAFETEIRA E 03 FRIGOBARES. - (CFC). - LOC.COSTA PINTO ")</f>
      </c>
      <c r="C27" s="4" t="inlineStr">
        <is>
          <t>Não vendido</t>
        </is>
      </c>
      <c r="D27" s="4" t="inlineStr">
        <is>
          <t>5</t>
        </is>
      </c>
      <c r="E27" s="5" t="inlineStr">
        <is>
          <t>1.800,00</t>
        </is>
      </c>
      <c r="F27" s="4" t="inlineStr">
        <is>
          <t>200.00</t>
        </is>
      </c>
    </row>
    <row collapsed="false" customFormat="false" customHeight="false" hidden="false" ht="12.1" outlineLevel="0" r="28">
      <c r="A28" s="5" t="s">
        <f>=HYPERLINK("https://www.leilaoonline.net/lote/detalhe/299031", "2478")</f>
      </c>
      <c r="B28" s="4" t="s">
        <f>=HYPERLINK("https://www.leilaoonline.net/lote/detalhe/299031", " LOTE DE 06 BATERIAS TUDOR 454H 12V. -(CFC) - LOC. COSTA PINTO")</f>
      </c>
      <c r="C28" s="4" t="inlineStr">
        <is>
          <t>Vendido</t>
        </is>
      </c>
      <c r="D28" s="4" t="inlineStr">
        <is>
          <t>22</t>
        </is>
      </c>
      <c r="E28" s="5" t="inlineStr">
        <is>
          <t>1.800,00</t>
        </is>
      </c>
      <c r="F28" s="4" t="inlineStr">
        <is>
          <t>100.00</t>
        </is>
      </c>
    </row>
    <row collapsed="false" customFormat="false" customHeight="false" hidden="false" ht="12.1" outlineLevel="0" r="29">
      <c r="A29" s="5" t="s">
        <f>=HYPERLINK("https://www.leilaoonline.net/lote/detalhe/299068", "11146")</f>
      </c>
      <c r="B29" s="4" t="s">
        <f>=HYPERLINK("https://www.leilaoonline.net/lote/detalhe/299068", " GRUPO GERADOR PENTA WEG MOTOR VOLVO 450 KVA; ANO 2000. - PT58576. -(CASA FORÇA) LOC.COSTA PINTO  ")</f>
      </c>
      <c r="C29" s="4" t="inlineStr">
        <is>
          <t>Vendido</t>
        </is>
      </c>
      <c r="D29" s="4" t="inlineStr">
        <is>
          <t>32</t>
        </is>
      </c>
      <c r="E29" s="5" t="inlineStr">
        <is>
          <t>40.500,00</t>
        </is>
      </c>
      <c r="F29" s="4" t="inlineStr">
        <is>
          <t>1000.00</t>
        </is>
      </c>
    </row>
    <row collapsed="false" customFormat="false" customHeight="false" hidden="false" ht="12.1" outlineLevel="0" r="30">
      <c r="A30" s="5" t="s">
        <f>=HYPERLINK("https://www.leilaoonline.net/lote/detalhe/299040", "11505")</f>
      </c>
      <c r="B30" s="4" t="s">
        <f>=HYPERLINK("https://www.leilaoonline.net/lote/detalhe/299040", " PLANT. CANA ATA PCP 1102; ANO 2017. - FR20285. -(APOIO). - LOC. COSTA PINTO ")</f>
      </c>
      <c r="C30" s="4" t="inlineStr">
        <is>
          <t>Não vendido</t>
        </is>
      </c>
      <c r="D30" s="4" t="inlineStr">
        <is>
          <t>2</t>
        </is>
      </c>
      <c r="E30" s="5" t="inlineStr">
        <is>
          <t>11.000,00</t>
        </is>
      </c>
      <c r="F30" s="4" t="inlineStr">
        <is>
          <t>500.00</t>
        </is>
      </c>
    </row>
    <row collapsed="false" customFormat="false" customHeight="false" hidden="false" ht="12.1" outlineLevel="0" r="31">
      <c r="A31" s="5" t="s">
        <f>=HYPERLINK("https://www.leilaoonline.net/lote/detalhe/299297", "12045")</f>
      </c>
      <c r="B31" s="4" t="s">
        <f>=HYPERLINK("https://www.leilaoonline.net/lote/detalhe/299297", " DOLLY RANDON; ANO 2009; (VENDA SEM DOCUMENTO). - FR4451600. - LOC. CARAAPÓ")</f>
      </c>
      <c r="C31" s="4" t="inlineStr">
        <is>
          <t>Vendido</t>
        </is>
      </c>
      <c r="D31" s="4" t="inlineStr">
        <is>
          <t>2</t>
        </is>
      </c>
      <c r="E31" s="5" t="inlineStr">
        <is>
          <t>1.750,00</t>
        </is>
      </c>
      <c r="F31" s="4" t="inlineStr">
        <is>
          <t>250.00</t>
        </is>
      </c>
    </row>
    <row collapsed="false" customFormat="false" customHeight="false" hidden="false" ht="12.1" outlineLevel="0" r="32">
      <c r="A32" s="5" t="s">
        <f>=HYPERLINK("https://www.leilaoonline.net/lote/detalhe/299298", "12061")</f>
      </c>
      <c r="B32" s="4" t="s">
        <f>=HYPERLINK("https://www.leilaoonline.net/lote/detalhe/299298", "TRANSBORDO TMA - ANO 2019 - FR11003815 - LOC. CAARAPÓ")</f>
      </c>
      <c r="C32" s="4" t="inlineStr">
        <is>
          <t>Não vendido</t>
        </is>
      </c>
      <c r="D32" s="4" t="inlineStr">
        <is>
          <t>1</t>
        </is>
      </c>
      <c r="E32" s="5" t="inlineStr">
        <is>
          <t>10.000,00</t>
        </is>
      </c>
      <c r="F32" s="4" t="inlineStr">
        <is>
          <t>1000.00</t>
        </is>
      </c>
    </row>
    <row collapsed="false" customFormat="false" customHeight="false" hidden="false" ht="12.1" outlineLevel="0" r="33">
      <c r="A33" s="5" t="s">
        <f>=HYPERLINK("https://www.leilaoonline.net/lote/detalhe/299290", "31320")</f>
      </c>
      <c r="B33" s="4" t="s">
        <f>=HYPERLINK("https://www.leilaoonline.net/lote/detalhe/299290", "PLANTADORA DE CANA AUTOMÁTICA DMB; ANO 2013 - FR9003135 - LOC. RIO BRILHANTE")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10.000,00</t>
        </is>
      </c>
      <c r="F33" s="4" t="inlineStr">
        <is>
          <t>1000.00</t>
        </is>
      </c>
    </row>
    <row collapsed="false" customFormat="false" customHeight="false" hidden="false" ht="12.1" outlineLevel="0" r="34">
      <c r="A34" s="5" t="s">
        <f>=HYPERLINK("https://www.leilaoonline.net/lote/detalhe/299025", "34064")</f>
      </c>
      <c r="B34" s="4" t="s">
        <f>=HYPERLINK("https://www.leilaoonline.net/lote/detalhe/299025", "VEJA VÍDEO!! BALSA + EMPURRADOR COM DOIS MOTORES A DIESEL  . - PT.14006006. - LOC. SANTA ELISA")</f>
      </c>
      <c r="C34" s="4" t="inlineStr">
        <is>
          <t>Vendido</t>
        </is>
      </c>
      <c r="D34" s="4" t="inlineStr">
        <is>
          <t>40</t>
        </is>
      </c>
      <c r="E34" s="5" t="inlineStr">
        <is>
          <t>530.000,00</t>
        </is>
      </c>
      <c r="F34" s="4" t="inlineStr">
        <is>
          <t>10000.00</t>
        </is>
      </c>
    </row>
    <row collapsed="false" customFormat="false" customHeight="false" hidden="false" ht="12.1" outlineLevel="0" r="35">
      <c r="A35" s="5" t="s">
        <f>=HYPERLINK("https://www.leilaoonline.net/lote/detalhe/299295", "34065")</f>
      </c>
      <c r="B35" s="4" t="s">
        <f>=HYPERLINK("https://www.leilaoonline.net/lote/detalhe/299295", "(VEJA VÍDEO) - COLHEDORA JOHN DEERE CH670 2L - FR72120 - ANO 2016 - LOC. DIAMANTE")</f>
      </c>
      <c r="C35" s="4" t="inlineStr">
        <is>
          <t>Vendido</t>
        </is>
      </c>
      <c r="D35" s="4" t="inlineStr">
        <is>
          <t>10</t>
        </is>
      </c>
      <c r="E35" s="5" t="inlineStr">
        <is>
          <t>62.500,00</t>
        </is>
      </c>
      <c r="F35" s="4" t="inlineStr">
        <is>
          <t>2500.00</t>
        </is>
      </c>
    </row>
    <row collapsed="false" customFormat="false" customHeight="false" hidden="false" ht="12.1" outlineLevel="0" r="36">
      <c r="A36" s="5" t="s">
        <f>=HYPERLINK("https://www.leilaoonline.net/lote/detalhe/299329", "34066")</f>
      </c>
      <c r="B36" s="4" t="s">
        <f>=HYPERLINK("https://www.leilaoonline.net/lote/detalhe/299329", "SUPER CULTIVADOR DMB; ANO 2008. - FR165275. - LOC. JATAI/GO")</f>
      </c>
      <c r="C36" s="4" t="inlineStr">
        <is>
          <t>Vendido</t>
        </is>
      </c>
      <c r="D36" s="4" t="inlineStr">
        <is>
          <t>4</t>
        </is>
      </c>
      <c r="E36" s="5" t="inlineStr">
        <is>
          <t>1.750,00</t>
        </is>
      </c>
      <c r="F36" s="4" t="inlineStr">
        <is>
          <t>250.00</t>
        </is>
      </c>
    </row>
    <row collapsed="false" customFormat="false" customHeight="false" hidden="false" ht="12.1" outlineLevel="0" r="37">
      <c r="A37" s="5" t="s">
        <f>=HYPERLINK("https://www.leilaoonline.net/lote/detalhe/299524", "34067")</f>
      </c>
      <c r="B37" s="4" t="s">
        <f>=HYPERLINK("https://www.leilaoonline.net/lote/detalhe/299524", "LOTE CONTENDO 4 BOMBAS DE ABASTECIMENTO. - PT.145316/145317/145318/145319. - (POSTO DE ABASTECIMENTO) - LOC. GASA  ")</f>
      </c>
      <c r="C37" s="4" t="inlineStr">
        <is>
          <t>Vendido</t>
        </is>
      </c>
      <c r="D37" s="4" t="inlineStr">
        <is>
          <t>4</t>
        </is>
      </c>
      <c r="E37" s="5" t="inlineStr">
        <is>
          <t>4.000,00</t>
        </is>
      </c>
      <c r="F37" s="4" t="inlineStr">
        <is>
          <t>500.00</t>
        </is>
      </c>
    </row>
    <row collapsed="false" customFormat="false" customHeight="false" hidden="false" ht="12.1" outlineLevel="0" r="38">
      <c r="A38" s="5" t="s">
        <f>=HYPERLINK("https://www.leilaoonline.net/lote/detalhe/300185", "34068")</f>
      </c>
      <c r="B38" s="4" t="s">
        <f>=HYPERLINK("https://www.leilaoonline.net/lote/detalhe/300185", "LOTE DE APROX. 10 TONELADAS DE SUCATA DE BORRACHA - (VENDA POR KG) - (PÁTIO KAIZEN) - LOC. COSTA PINTO ")</f>
      </c>
      <c r="C38" s="4" t="inlineStr">
        <is>
          <t>Vendido</t>
        </is>
      </c>
      <c r="D38" s="4" t="inlineStr">
        <is>
          <t>22</t>
        </is>
      </c>
      <c r="E38" s="5" t="inlineStr">
        <is>
          <t>30.000,00</t>
        </is>
      </c>
      <c r="F38" s="4" t="inlineStr">
        <is>
          <t>0.10</t>
        </is>
      </c>
    </row>
    <row collapsed="false" customFormat="false" customHeight="false" hidden="false" ht="12.1" outlineLevel="0" r="39">
      <c r="A39" s="5" t="s">
        <f>=HYPERLINK("https://www.leilaoonline.net/lote/detalhe/300188", "34069")</f>
      </c>
      <c r="B39" s="4" t="s">
        <f>=HYPERLINK("https://www.leilaoonline.net/lote/detalhe/300188", "FURADEIRA RADIAL CINCINNATI - PAT. 60297 - - (PÁTIO KAIZEN) - LOC. COSTA PINTO")</f>
      </c>
      <c r="C39" s="4" t="inlineStr">
        <is>
          <t>Vendido</t>
        </is>
      </c>
      <c r="D39" s="4" t="inlineStr">
        <is>
          <t>1</t>
        </is>
      </c>
      <c r="E39" s="5" t="inlineStr">
        <is>
          <t>10.000,00</t>
        </is>
      </c>
      <c r="F39" s="4" t="inlineStr">
        <is>
          <t>500.00</t>
        </is>
      </c>
    </row>
    <row collapsed="false" customFormat="false" customHeight="false" hidden="false" ht="12.1" outlineLevel="0" r="40">
      <c r="A40" s="5" t="s">
        <f>=HYPERLINK("https://www.leilaoonline.net/lote/detalhe/300935", "34070")</f>
      </c>
      <c r="B40" s="4" t="s">
        <f>=HYPERLINK("https://www.leilaoonline.net/lote/detalhe/300935", "CARRETA ESP. CALC. SOLLUS - ANO 2014 - FR4445234 - LOC. CAARAPÓ ")</f>
      </c>
      <c r="C40" s="4" t="inlineStr">
        <is>
          <t>Não vendido</t>
        </is>
      </c>
      <c r="D40" s="4" t="inlineStr">
        <is>
          <t>9</t>
        </is>
      </c>
      <c r="E40" s="5" t="inlineStr">
        <is>
          <t>9.000,00</t>
        </is>
      </c>
      <c r="F40" s="4" t="inlineStr">
        <is>
          <t>500.00</t>
        </is>
      </c>
    </row>
    <row collapsed="false" customFormat="false" customHeight="false" hidden="false" ht="12.1" outlineLevel="0" r="41">
      <c r="A41" s="5" t="s">
        <f>=HYPERLINK("https://www.leilaoonline.net/lote/detalhe/300936", "34071")</f>
      </c>
      <c r="B41" s="4" t="s">
        <f>=HYPERLINK("https://www.leilaoonline.net/lote/detalhe/300936", "CARRETA ESP. CALC. SOLLUS - ANO 2014 - FR4445237 - LOC. CAARAPÓ")</f>
      </c>
      <c r="C41" s="4" t="inlineStr">
        <is>
          <t>Vendido</t>
        </is>
      </c>
      <c r="D41" s="4" t="inlineStr">
        <is>
          <t>21</t>
        </is>
      </c>
      <c r="E41" s="5" t="inlineStr">
        <is>
          <t>17.000,00</t>
        </is>
      </c>
      <c r="F41" s="4" t="inlineStr">
        <is>
          <t>1000.00</t>
        </is>
      </c>
    </row>
    <row collapsed="false" customFormat="false" customHeight="false" hidden="false" ht="12.1" outlineLevel="0" r="42">
      <c r="A42" s="5" t="s">
        <f>=HYPERLINK("https://www.leilaoonline.net/lote/detalhe/300937", "34072")</f>
      </c>
      <c r="B42" s="4" t="s">
        <f>=HYPERLINK("https://www.leilaoonline.net/lote/detalhe/300937", "SUCATA DE TRATOR JOHN DEERE 6180 J - ANO 2016 - FR4435125 - LOC. CAARAPÓ")</f>
      </c>
      <c r="C42" s="4" t="inlineStr">
        <is>
          <t>Vendido</t>
        </is>
      </c>
      <c r="D42" s="4" t="inlineStr">
        <is>
          <t>51</t>
        </is>
      </c>
      <c r="E42" s="5" t="inlineStr">
        <is>
          <t>61.000,00</t>
        </is>
      </c>
      <c r="F42" s="4" t="inlineStr">
        <is>
          <t>1000.00</t>
        </is>
      </c>
    </row>
    <row collapsed="false" customFormat="false" customHeight="false" hidden="false" ht="12.1" outlineLevel="0" r="43">
      <c r="A43" s="5" t="s">
        <f>=HYPERLINK("https://www.leilaoonline.net/lote/detalhe/300942", "34073")</f>
      </c>
      <c r="B43" s="4" t="s">
        <f>=HYPERLINK("https://www.leilaoonline.net/lote/detalhe/300942", "CAMINHÃO VOLKSWAGEN 31.330 CRC 6X4 - ANO 2014/2015 - BRANCO - FR92366/ FR93848 - (CARROCERIA TRANSBORDO ATA 12000) - LOC. JUNQUEIRA")</f>
      </c>
      <c r="C43" s="4" t="inlineStr">
        <is>
          <t>Não vendido</t>
        </is>
      </c>
      <c r="D43" s="4" t="inlineStr">
        <is>
          <t>71</t>
        </is>
      </c>
      <c r="E43" s="5" t="inlineStr">
        <is>
          <t>122.000,00</t>
        </is>
      </c>
      <c r="F43" s="4" t="inlineStr">
        <is>
          <t>2000.00</t>
        </is>
      </c>
    </row>
    <row collapsed="false" customFormat="false" customHeight="false" hidden="false" ht="12.1" outlineLevel="0" r="44">
      <c r="A44" s="5" t="s">
        <f>=HYPERLINK("https://www.leilaoonline.net/lote/detalhe/300943", "34074")</f>
      </c>
      <c r="B44" s="4" t="s">
        <f>=HYPERLINK("https://www.leilaoonline.net/lote/detalhe/300943", "SUBSOLADOR - ANO 2003 - FR92609 - LOC. JUNQUEIRA")</f>
      </c>
      <c r="C44" s="4" t="inlineStr">
        <is>
          <t>Vendido</t>
        </is>
      </c>
      <c r="D44" s="4" t="inlineStr">
        <is>
          <t>2</t>
        </is>
      </c>
      <c r="E44" s="5" t="inlineStr">
        <is>
          <t>1.250,00</t>
        </is>
      </c>
      <c r="F44" s="4" t="inlineStr">
        <is>
          <t>250.00</t>
        </is>
      </c>
    </row>
    <row collapsed="false" customFormat="false" customHeight="false" hidden="false" ht="12.1" outlineLevel="0" r="45">
      <c r="A45" s="5" t="s">
        <f>=HYPERLINK("https://www.leilaoonline.net/lote/detalhe/300944", "34075")</f>
      </c>
      <c r="B45" s="4" t="s">
        <f>=HYPERLINK("https://www.leilaoonline.net/lote/detalhe/300944", "GRADE - ANO 2011 - FR92782 - LOC. JUNQUEIRA")</f>
      </c>
      <c r="C45" s="4" t="inlineStr">
        <is>
          <t>Vendido</t>
        </is>
      </c>
      <c r="D45" s="4" t="inlineStr">
        <is>
          <t>19</t>
        </is>
      </c>
      <c r="E45" s="5" t="inlineStr">
        <is>
          <t>7.750,00</t>
        </is>
      </c>
      <c r="F45" s="4" t="inlineStr">
        <is>
          <t>500.00</t>
        </is>
      </c>
    </row>
    <row collapsed="false" customFormat="false" customHeight="false" hidden="false" ht="12.1" outlineLevel="0" r="46">
      <c r="A46" s="5" t="s">
        <f>=HYPERLINK("https://www.leilaoonline.net/lote/detalhe/300945", "34076")</f>
      </c>
      <c r="B46" s="4" t="s">
        <f>=HYPERLINK("https://www.leilaoonline.net/lote/detalhe/300945", "GRADE ARADORA CIVEMASA - ANO 2012 - FR92828 - LOC. JUNQUEIRA")</f>
      </c>
      <c r="C46" s="4" t="inlineStr">
        <is>
          <t>Vendido</t>
        </is>
      </c>
      <c r="D46" s="4" t="inlineStr">
        <is>
          <t>45</t>
        </is>
      </c>
      <c r="E46" s="5" t="inlineStr">
        <is>
          <t>32.500,00</t>
        </is>
      </c>
      <c r="F46" s="4" t="inlineStr">
        <is>
          <t>1000.00</t>
        </is>
      </c>
    </row>
    <row collapsed="false" customFormat="false" customHeight="false" hidden="false" ht="12.1" outlineLevel="0" r="47">
      <c r="A47" s="5" t="s">
        <f>=HYPERLINK("https://www.leilaoonline.net/lote/detalhe/300946", "34077")</f>
      </c>
      <c r="B47" s="4" t="s">
        <f>=HYPERLINK("https://www.leilaoonline.net/lote/detalhe/300946", "DIST. CORRET. BRUTTUS 6000 - ANO 2013 - FR92846 - LOC. JUNQUEIRA")</f>
      </c>
      <c r="C47" s="4" t="inlineStr">
        <is>
          <t>Não vendido</t>
        </is>
      </c>
      <c r="D47" s="4" t="inlineStr">
        <is>
          <t>69</t>
        </is>
      </c>
      <c r="E47" s="5" t="inlineStr">
        <is>
          <t>50.000,00</t>
        </is>
      </c>
      <c r="F47" s="4" t="inlineStr">
        <is>
          <t>1000.00</t>
        </is>
      </c>
    </row>
    <row collapsed="false" customFormat="false" customHeight="false" hidden="false" ht="12.1" outlineLevel="0" r="48">
      <c r="A48" s="5" t="s">
        <f>=HYPERLINK("https://www.leilaoonline.net/lote/detalhe/300947", "34078")</f>
      </c>
      <c r="B48" s="4" t="s">
        <f>=HYPERLINK("https://www.leilaoonline.net/lote/detalhe/300947", "SUCATA DE CAMINHÃO MB AXOR 3131 8X4 TRANS. CCT - ANO 2022 - FR330014 - (VENDA SEM DOCUMENTO) - LOC. JUNQUEIRA")</f>
      </c>
      <c r="C48" s="4" t="inlineStr">
        <is>
          <t>Vendido</t>
        </is>
      </c>
      <c r="D48" s="4" t="inlineStr">
        <is>
          <t>32</t>
        </is>
      </c>
      <c r="E48" s="5" t="inlineStr">
        <is>
          <t>43.500,00</t>
        </is>
      </c>
      <c r="F48" s="4" t="inlineStr">
        <is>
          <t>1000.00</t>
        </is>
      </c>
    </row>
    <row collapsed="false" customFormat="false" customHeight="false" hidden="false" ht="12.1" outlineLevel="0" r="49">
      <c r="A49" s="5" t="s">
        <f>=HYPERLINK("https://www.leilaoonline.net/lote/detalhe/300948", "34079")</f>
      </c>
      <c r="B49" s="4" t="s">
        <f>=HYPERLINK("https://www.leilaoonline.net/lote/detalhe/300948", "PLANTADORA DE CANA TMA 2 LINHAS - ANO 2014 - FR92867 - LOC. JUNQUEIRA")</f>
      </c>
      <c r="C49" s="4" t="inlineStr">
        <is>
          <t>Não vendido</t>
        </is>
      </c>
      <c r="D49" s="4" t="inlineStr">
        <is>
          <t>0</t>
        </is>
      </c>
      <c r="E49" s="5" t="inlineStr">
        <is>
          <t>10.000,00</t>
        </is>
      </c>
      <c r="F49" s="4" t="inlineStr">
        <is>
          <t>1000.00</t>
        </is>
      </c>
    </row>
    <row collapsed="false" customFormat="false" customHeight="false" hidden="false" ht="12.1" outlineLevel="0" r="50">
      <c r="A50" s="5" t="s">
        <f>=HYPERLINK("https://www.leilaoonline.net/lote/detalhe/300949", "34080")</f>
      </c>
      <c r="B50" s="4" t="s">
        <f>=HYPERLINK("https://www.leilaoonline.net/lote/detalhe/300949", "TORNO MECÂNICO NARDINI - S/FR - LOC. JUNQUEIRA")</f>
      </c>
      <c r="C50" s="4" t="inlineStr">
        <is>
          <t>Vendido</t>
        </is>
      </c>
      <c r="D50" s="4" t="inlineStr">
        <is>
          <t>22</t>
        </is>
      </c>
      <c r="E50" s="5" t="inlineStr">
        <is>
          <t>33.000,00</t>
        </is>
      </c>
      <c r="F50" s="4" t="inlineStr">
        <is>
          <t>1000.00</t>
        </is>
      </c>
    </row>
    <row collapsed="false" customFormat="false" customHeight="false" hidden="false" ht="12.1" outlineLevel="0" r="51">
      <c r="A51" s="5" t="s">
        <f>=HYPERLINK("https://www.leilaoonline.net/lote/detalhe/300950", "34081")</f>
      </c>
      <c r="B51" s="4" t="s">
        <f>=HYPERLINK("https://www.leilaoonline.net/lote/detalhe/300950", "PLANTADORA DE CANA ATA PCP 1102 - ANO 2012 - FR134053 - LOC. JUNQUEIRA")</f>
      </c>
      <c r="C51" s="4" t="inlineStr">
        <is>
          <t>Não vendido</t>
        </is>
      </c>
      <c r="D51" s="4" t="inlineStr">
        <is>
          <t>0</t>
        </is>
      </c>
      <c r="E51" s="5" t="inlineStr">
        <is>
          <t>10.000,00</t>
        </is>
      </c>
      <c r="F51" s="4" t="inlineStr">
        <is>
          <t>1000.00</t>
        </is>
      </c>
    </row>
    <row collapsed="false" customFormat="false" customHeight="false" hidden="false" ht="12.1" outlineLevel="0" r="52">
      <c r="A52" s="5" t="s">
        <f>=HYPERLINK("https://www.leilaoonline.net/lote/detalhe/300951", "34082")</f>
      </c>
      <c r="B52" s="4" t="s">
        <f>=HYPERLINK("https://www.leilaoonline.net/lote/detalhe/300951", "LOTE CONTENDO APROX. 19 PNEUS E RODAS SUCATEADOS - LOC. JUNQUEIRA")</f>
      </c>
      <c r="C52" s="4" t="inlineStr">
        <is>
          <t>Não vendido</t>
        </is>
      </c>
      <c r="D52" s="4" t="inlineStr">
        <is>
          <t>2</t>
        </is>
      </c>
      <c r="E52" s="5" t="inlineStr">
        <is>
          <t>600,00</t>
        </is>
      </c>
      <c r="F52" s="4" t="inlineStr">
        <is>
          <t>100.00</t>
        </is>
      </c>
    </row>
    <row collapsed="false" customFormat="false" customHeight="false" hidden="false" ht="12.1" outlineLevel="0" r="53">
      <c r="A53" s="5" t="s">
        <f>=HYPERLINK("https://www.leilaoonline.net/lote/detalhe/301122", "34083")</f>
      </c>
      <c r="B53" s="4" t="s">
        <f>=HYPERLINK("https://www.leilaoonline.net/lote/detalhe/301122", "05 BOMBAS DE ABASTECIMENTO DE COMBUSTÍVEIS. - N/E - POSTO DE ABASTECIMENTO - LOC.BONFIM")</f>
      </c>
      <c r="C53" s="4" t="inlineStr">
        <is>
          <t>Vendido</t>
        </is>
      </c>
      <c r="D53" s="4" t="inlineStr">
        <is>
          <t>19</t>
        </is>
      </c>
      <c r="E53" s="5" t="inlineStr">
        <is>
          <t>6.000,00</t>
        </is>
      </c>
      <c r="F53" s="4" t="inlineStr">
        <is>
          <t>500.00</t>
        </is>
      </c>
    </row>
    <row collapsed="false" customFormat="false" customHeight="false" hidden="false" ht="12.1" outlineLevel="0" r="54">
      <c r="A54" s="5" t="s">
        <f>=HYPERLINK("https://www.leilaoonline.net/lote/detalhe/301123", "34084")</f>
      </c>
      <c r="B54" s="4" t="s">
        <f>=HYPERLINK("https://www.leilaoonline.net/lote/detalhe/301123", "ESTRUTURAS INDUSTRIAIS COMPOSTA POR: 2 MOEGA, 3 SILOS, 1 ELEVADOR, 4 ESTEIRA E PERIFERICOS. - N/E. - LOC. VALE DO ROSÁRIO ")</f>
      </c>
      <c r="C54" s="4" t="inlineStr">
        <is>
          <t>Não vendido</t>
        </is>
      </c>
      <c r="D54" s="4" t="inlineStr">
        <is>
          <t>33</t>
        </is>
      </c>
      <c r="E54" s="5" t="inlineStr">
        <is>
          <t>47.000,00</t>
        </is>
      </c>
      <c r="F54" s="4" t="inlineStr">
        <is>
          <t>1000.00</t>
        </is>
      </c>
    </row>
    <row collapsed="false" customFormat="false" customHeight="false" hidden="false" ht="12.1" outlineLevel="0" r="55">
      <c r="A55" s="5" t="s">
        <f>=HYPERLINK("https://www.leilaoonline.net/lote/detalhe/299299", "35016")</f>
      </c>
      <c r="B55" s="4" t="s">
        <f>=HYPERLINK("https://www.leilaoonline.net/lote/detalhe/299299", "COLHEDORA JOHN DEERE CH670 2L - ANO 2016 -FR101506 - LOC. BARRA")</f>
      </c>
      <c r="C55" s="4" t="inlineStr">
        <is>
          <t>Vendido</t>
        </is>
      </c>
      <c r="D55" s="4" t="inlineStr">
        <is>
          <t>9</t>
        </is>
      </c>
      <c r="E55" s="5" t="inlineStr">
        <is>
          <t>60.000,00</t>
        </is>
      </c>
      <c r="F55" s="4" t="inlineStr">
        <is>
          <t>2500.00</t>
        </is>
      </c>
    </row>
    <row collapsed="false" customFormat="false" customHeight="false" hidden="false" ht="12.1" outlineLevel="0" r="56">
      <c r="A56" s="5" t="s">
        <f>=HYPERLINK("https://www.leilaoonline.net/lote/detalhe/298095", "35025")</f>
      </c>
      <c r="B56" s="4" t="s">
        <f>=HYPERLINK("https://www.leilaoonline.net/lote/detalhe/298095", "LOTE COM APROX. 80 PEÇAS DE INOX; (SERÁ VENDIDO COMO SUCATA DE INOX). -  LOC. JATAI/GO")</f>
      </c>
      <c r="C56" s="4" t="inlineStr">
        <is>
          <t>Vendido</t>
        </is>
      </c>
      <c r="D56" s="4" t="inlineStr">
        <is>
          <t>3</t>
        </is>
      </c>
      <c r="E56" s="5" t="inlineStr">
        <is>
          <t>2.500,00</t>
        </is>
      </c>
      <c r="F56" s="4" t="inlineStr">
        <is>
          <t>250.00</t>
        </is>
      </c>
    </row>
    <row collapsed="false" customFormat="false" customHeight="false" hidden="false" ht="12.1" outlineLevel="0" r="57">
      <c r="A57" s="5" t="s">
        <f>=HYPERLINK("https://www.leilaoonline.net/lote/detalhe/298093", "35026")</f>
      </c>
      <c r="B57" s="4" t="s">
        <f>=HYPERLINK("https://www.leilaoonline.net/lote/detalhe/298093", "FILTRO MED. APROX. 8X2 MTS. ( SEM OS ACIONAMENTOS). - PAT.330179. - LOC. JATAI/GO ")</f>
      </c>
      <c r="C57" s="4" t="inlineStr">
        <is>
          <t>Não vendido</t>
        </is>
      </c>
      <c r="D57" s="4" t="inlineStr">
        <is>
          <t>1</t>
        </is>
      </c>
      <c r="E57" s="5" t="inlineStr">
        <is>
          <t>1.500,00</t>
        </is>
      </c>
      <c r="F57" s="4" t="inlineStr">
        <is>
          <t>250.00</t>
        </is>
      </c>
    </row>
    <row collapsed="false" customFormat="false" customHeight="false" hidden="false" ht="12.1" outlineLevel="0" r="58">
      <c r="A58" s="5" t="s">
        <f>=HYPERLINK("https://www.leilaoonline.net/lote/detalhe/298097", "35027")</f>
      </c>
      <c r="B58" s="4" t="s">
        <f>=HYPERLINK("https://www.leilaoonline.net/lote/detalhe/298097", "LOTE CONTENDO APROX. 40 TUBOS TIPO PVC. - LOC. JATAI ")</f>
      </c>
      <c r="C58" s="4" t="inlineStr">
        <is>
          <t>Vendido</t>
        </is>
      </c>
      <c r="D58" s="4" t="inlineStr">
        <is>
          <t>1</t>
        </is>
      </c>
      <c r="E58" s="5" t="inlineStr">
        <is>
          <t>200,00</t>
        </is>
      </c>
      <c r="F58" s="4" t="inlineStr">
        <is>
          <t>100.00</t>
        </is>
      </c>
    </row>
    <row collapsed="false" customFormat="false" customHeight="false" hidden="false" ht="12.1" outlineLevel="0" r="59">
      <c r="A59" s="5" t="s">
        <f>=HYPERLINK("https://www.leilaoonline.net/lote/detalhe/296084", "35076")</f>
      </c>
      <c r="B59" s="4" t="s">
        <f>=HYPERLINK("https://www.leilaoonline.net/lote/detalhe/296084", "TRATOR CASE MAGNUM 260 - ANO 2017 - FR20376 - LOC. SANTA CÂNDIDA ")</f>
      </c>
      <c r="C59" s="4" t="inlineStr">
        <is>
          <t>Vendido</t>
        </is>
      </c>
      <c r="D59" s="4" t="inlineStr">
        <is>
          <t>13</t>
        </is>
      </c>
      <c r="E59" s="5" t="inlineStr">
        <is>
          <t>110.000,00</t>
        </is>
      </c>
      <c r="F59" s="4" t="inlineStr">
        <is>
          <t>2500.00</t>
        </is>
      </c>
    </row>
    <row collapsed="false" customFormat="false" customHeight="false" hidden="false" ht="12.1" outlineLevel="0" r="60">
      <c r="A60" s="5" t="s">
        <f>=HYPERLINK("https://www.leilaoonline.net/lote/detalhe/298105", "35115")</f>
      </c>
      <c r="B60" s="4" t="s">
        <f>=HYPERLINK("https://www.leilaoonline.net/lote/detalhe/298105", "LOTE APROX. 30 BOJOS DE COLHEDORA,07 TANQUES DIVERSOS, E 1 CAIXA D' ÁGUA (SERÁ VENDIDO COMO SUCATA PLASTICA). - LOC. JATAI/GO")</f>
      </c>
      <c r="C60" s="4" t="inlineStr">
        <is>
          <t>Não vendido</t>
        </is>
      </c>
      <c r="D60" s="4" t="inlineStr">
        <is>
          <t>0</t>
        </is>
      </c>
      <c r="E60" s="5" t="inlineStr">
        <is>
          <t>1.000,00</t>
        </is>
      </c>
      <c r="F60" s="4" t="inlineStr">
        <is>
          <t>250.00</t>
        </is>
      </c>
    </row>
    <row collapsed="false" customFormat="false" customHeight="false" hidden="false" ht="12.1" outlineLevel="0" r="61">
      <c r="A61" s="5" t="s">
        <f>=HYPERLINK("https://www.leilaoonline.net/lote/detalhe/298118", "35116")</f>
      </c>
      <c r="B61" s="4" t="s">
        <f>=HYPERLINK("https://www.leilaoonline.net/lote/detalhe/298118", "LOTE DE SUCATA DE VERGALHÃO. - APROX. 1 TON. (VENDA POR KG). - LOC. JATAI/GO ")</f>
      </c>
      <c r="C61" s="4" t="inlineStr">
        <is>
          <t>Vendido</t>
        </is>
      </c>
      <c r="D61" s="4" t="inlineStr">
        <is>
          <t>2</t>
        </is>
      </c>
      <c r="E61" s="5" t="inlineStr">
        <is>
          <t>1.000,00</t>
        </is>
      </c>
      <c r="F61" s="4" t="inlineStr">
        <is>
          <t>0.10</t>
        </is>
      </c>
    </row>
    <row collapsed="false" customFormat="false" customHeight="false" hidden="false" ht="12.1" outlineLevel="0" r="62">
      <c r="A62" s="5" t="s">
        <f>=HYPERLINK("https://www.leilaoonline.net/lote/detalhe/299293", "35121")</f>
      </c>
      <c r="B62" s="4" t="s">
        <f>=HYPERLINK("https://www.leilaoonline.net/lote/detalhe/299293", "SEMI REBOQUE SR/SOUFER CFE 2E - ANO 2012/2012 - CINZA - FR139422 - (ÁREA DE VIVÊNCIA) - LOC. ZANIN ")</f>
      </c>
      <c r="C62" s="4" t="inlineStr">
        <is>
          <t>Não vendido</t>
        </is>
      </c>
      <c r="D62" s="4" t="inlineStr">
        <is>
          <t>9</t>
        </is>
      </c>
      <c r="E62" s="5" t="inlineStr">
        <is>
          <t>15.500,00</t>
        </is>
      </c>
      <c r="F62" s="4" t="inlineStr">
        <is>
          <t>1000.00</t>
        </is>
      </c>
    </row>
    <row collapsed="false" customFormat="false" customHeight="false" hidden="false" ht="12.1" outlineLevel="0" r="63">
      <c r="A63" s="5" t="s">
        <f>=HYPERLINK("https://www.leilaoonline.net/lote/detalhe/299300", "35125")</f>
      </c>
      <c r="B63" s="4" t="s">
        <f>=HYPERLINK("https://www.leilaoonline.net/lote/detalhe/299300", "3 COBRIDORES - FR361224/361225/361227 - LOC. ZANIN")</f>
      </c>
      <c r="C63" s="4" t="inlineStr">
        <is>
          <t>Vendido</t>
        </is>
      </c>
      <c r="D63" s="4" t="inlineStr">
        <is>
          <t>15</t>
        </is>
      </c>
      <c r="E63" s="5" t="inlineStr">
        <is>
          <t>10.000,00</t>
        </is>
      </c>
      <c r="F63" s="4" t="inlineStr">
        <is>
          <t>500.00</t>
        </is>
      </c>
    </row>
    <row collapsed="false" customFormat="false" customHeight="false" hidden="false" ht="12.1" outlineLevel="0" r="64">
      <c r="A64" s="5" t="s">
        <f>=HYPERLINK("https://www.leilaoonline.net/lote/detalhe/300186", "35149")</f>
      </c>
      <c r="B64" s="4" t="s">
        <f>=HYPERLINK("https://www.leilaoonline.net/lote/detalhe/300186", "CAMINHÃO VOLKSWAGEN 15.180 EURO3 WORKER - ANO 2010/2010 - BRANCO - FR119906 - (BAÚ) - LOC. BONFIM")</f>
      </c>
      <c r="C64" s="4" t="inlineStr">
        <is>
          <t>Vendido</t>
        </is>
      </c>
      <c r="D64" s="4" t="inlineStr">
        <is>
          <t>63</t>
        </is>
      </c>
      <c r="E64" s="5" t="inlineStr">
        <is>
          <t>92.000,00</t>
        </is>
      </c>
      <c r="F64" s="4" t="inlineStr">
        <is>
          <t>1000.00</t>
        </is>
      </c>
    </row>
    <row collapsed="false" customFormat="false" customHeight="false" hidden="false" ht="12.1" outlineLevel="0" r="65">
      <c r="A65" s="5" t="s">
        <f>=HYPERLINK("https://www.leilaoonline.net/lote/detalhe/299302", "35175")</f>
      </c>
      <c r="B65" s="4" t="s">
        <f>=HYPERLINK("https://www.leilaoonline.net/lote/detalhe/299302", "ÁREA DE VIVÊNCIA - FR14003576 - LOC. SANTA ELISA ")</f>
      </c>
      <c r="C65" s="4" t="inlineStr">
        <is>
          <t>Vendido</t>
        </is>
      </c>
      <c r="D65" s="4" t="inlineStr">
        <is>
          <t>2</t>
        </is>
      </c>
      <c r="E65" s="5" t="inlineStr">
        <is>
          <t>3.500,00</t>
        </is>
      </c>
      <c r="F65" s="4" t="inlineStr">
        <is>
          <t>500.00</t>
        </is>
      </c>
    </row>
    <row collapsed="false" customFormat="false" customHeight="false" hidden="false" ht="12.1" outlineLevel="0" r="66">
      <c r="A66" s="5" t="s">
        <f>=HYPERLINK("https://www.leilaoonline.net/lote/detalhe/300187", "35197")</f>
      </c>
      <c r="B66" s="4" t="s">
        <f>=HYPERLINK("https://www.leilaoonline.net/lote/detalhe/300187", "COLHEDORA CASE A 8810 1L - ANO 2019 - FR14002161 - LOC. SANTA ELISA")</f>
      </c>
      <c r="C66" s="4" t="inlineStr">
        <is>
          <t>Não vendido</t>
        </is>
      </c>
      <c r="D66" s="4" t="inlineStr">
        <is>
          <t>36</t>
        </is>
      </c>
      <c r="E66" s="5" t="inlineStr">
        <is>
          <t>167.500,00</t>
        </is>
      </c>
      <c r="F66" s="4" t="inlineStr">
        <is>
          <t>2500.00</t>
        </is>
      </c>
    </row>
    <row collapsed="false" customFormat="false" customHeight="false" hidden="false" ht="12.1" outlineLevel="0" r="67">
      <c r="A67" s="5" t="s">
        <f>=HYPERLINK("https://www.leilaoonline.net/lote/detalhe/299063", "35233")</f>
      </c>
      <c r="B67" s="4" t="s">
        <f>=HYPERLINK("https://www.leilaoonline.net/lote/detalhe/299063", " CARRETA DIST. TORTA SPANDER; ANO 2011. - FR57307. - (PATIO INDUSTRIA) LOC. BOM RETIRO ")</f>
      </c>
      <c r="C67" s="4" t="inlineStr">
        <is>
          <t>Não vendido</t>
        </is>
      </c>
      <c r="D67" s="4" t="inlineStr">
        <is>
          <t>2</t>
        </is>
      </c>
      <c r="E67" s="5" t="inlineStr">
        <is>
          <t>3.500,00</t>
        </is>
      </c>
      <c r="F67" s="4" t="inlineStr">
        <is>
          <t>500.00</t>
        </is>
      </c>
    </row>
    <row collapsed="false" customFormat="false" customHeight="false" hidden="false" ht="12.1" outlineLevel="0" r="68">
      <c r="A68" s="5" t="s">
        <f>=HYPERLINK("https://www.leilaoonline.net/lote/detalhe/299065", "35234")</f>
      </c>
      <c r="B68" s="4" t="s">
        <f>=HYPERLINK("https://www.leilaoonline.net/lote/detalhe/299065", " SUCATA HIDRO ROLL METALMAG(ROLÃO); ANO 2019. - FR67218. - (PATIO INDUSTRIA) LOC. BOM RETIRO ")</f>
      </c>
      <c r="C68" s="4" t="inlineStr">
        <is>
          <t>Não vendido</t>
        </is>
      </c>
      <c r="D68" s="4" t="inlineStr">
        <is>
          <t>0</t>
        </is>
      </c>
      <c r="E68" s="5" t="inlineStr">
        <is>
          <t>1.000,00</t>
        </is>
      </c>
      <c r="F68" s="4" t="inlineStr">
        <is>
          <t>250.00</t>
        </is>
      </c>
    </row>
    <row collapsed="false" customFormat="false" customHeight="false" hidden="false" ht="12.1" outlineLevel="0" r="69">
      <c r="A69" s="5" t="s">
        <f>=HYPERLINK("https://www.leilaoonline.net/lote/detalhe/299042", "35235")</f>
      </c>
      <c r="B69" s="4" t="s">
        <f>=HYPERLINK("https://www.leilaoonline.net/lote/detalhe/299042", " CAMINHÃO VW/26.220 EURO3 WORKER; ANO 2010/2011; BRANCA; (BASCULANTE). - FR52537/58622. - (PATIO INDUSTRIA) LOC. BOM RETIRO ")</f>
      </c>
      <c r="C69" s="4" t="inlineStr">
        <is>
          <t>Vendido</t>
        </is>
      </c>
      <c r="D69" s="4" t="inlineStr">
        <is>
          <t>110</t>
        </is>
      </c>
      <c r="E69" s="5" t="inlineStr">
        <is>
          <t>170.000,00</t>
        </is>
      </c>
      <c r="F69" s="4" t="inlineStr">
        <is>
          <t>2000.00</t>
        </is>
      </c>
    </row>
    <row collapsed="false" customFormat="false" customHeight="false" hidden="false" ht="12.1" outlineLevel="0" r="70">
      <c r="A70" s="5" t="s">
        <f>=HYPERLINK("https://www.leilaoonline.net/lote/detalhe/299296", "35236")</f>
      </c>
      <c r="B70" s="4" t="s">
        <f>=HYPERLINK("https://www.leilaoonline.net/lote/detalhe/299296", " PONTE ROLANTE 15 TON.; 12 METROS - (BARRACÃO MOENDA) - LOC. BOM RETIRO")</f>
      </c>
      <c r="C70" s="4" t="inlineStr">
        <is>
          <t>Não vendido</t>
        </is>
      </c>
      <c r="D70" s="4" t="inlineStr">
        <is>
          <t>24</t>
        </is>
      </c>
      <c r="E70" s="5" t="inlineStr">
        <is>
          <t>33.000,00</t>
        </is>
      </c>
      <c r="F70" s="4" t="inlineStr">
        <is>
          <t>1000.00</t>
        </is>
      </c>
    </row>
    <row collapsed="false" customFormat="false" customHeight="false" hidden="false" ht="12.1" outlineLevel="0" r="71">
      <c r="A71" s="5" t="s">
        <f>=HYPERLINK("https://www.leilaoonline.net/lote/detalhe/296339", "35247")</f>
      </c>
      <c r="B71" s="4" t="s">
        <f>=HYPERLINK("https://www.leilaoonline.net/lote/detalhe/296339", "CAMINHÃO VOLKSWAGEN 15.180 EURO3 WORKER - ANO 2010/2010 - BRANCO - FR52528/57535 - (OFICINA) - (AUTOMOTIVO) - LOC. COSTA PINTO")</f>
      </c>
      <c r="C71" s="4" t="inlineStr">
        <is>
          <t>Não vendido</t>
        </is>
      </c>
      <c r="D71" s="4" t="inlineStr">
        <is>
          <t>75</t>
        </is>
      </c>
      <c r="E71" s="5" t="inlineStr">
        <is>
          <t>94.000,00</t>
        </is>
      </c>
      <c r="F71" s="4" t="inlineStr">
        <is>
          <t>1000.00</t>
        </is>
      </c>
    </row>
    <row collapsed="false" customFormat="false" customHeight="false" hidden="false" ht="12.1" outlineLevel="0" r="72">
      <c r="A72" s="5" t="s">
        <f>=HYPERLINK("https://www.leilaoonline.net/lote/detalhe/298703", "35264")</f>
      </c>
      <c r="B72" s="4" t="s">
        <f>=HYPERLINK("https://www.leilaoonline.net/lote/detalhe/298703", "CARRETA DISTRIBUIDORA DE TORTA FILTRO ATA1102 - FR57371 - (PÁTIO IMPLEMENTO) - LOC. MUNDIAL")</f>
      </c>
      <c r="C72" s="4" t="inlineStr">
        <is>
          <t>Não vendido</t>
        </is>
      </c>
      <c r="D72" s="4" t="inlineStr">
        <is>
          <t>3</t>
        </is>
      </c>
      <c r="E72" s="5" t="inlineStr">
        <is>
          <t>4.500,00</t>
        </is>
      </c>
      <c r="F72" s="4" t="inlineStr">
        <is>
          <t>500.00</t>
        </is>
      </c>
    </row>
    <row collapsed="false" customFormat="false" customHeight="false" hidden="false" ht="12.1" outlineLevel="0" r="73">
      <c r="A73" s="5" t="s">
        <f>=HYPERLINK("https://www.leilaoonline.net/lote/detalhe/296083", "35270")</f>
      </c>
      <c r="B73" s="4" t="s">
        <f>=HYPERLINK("https://www.leilaoonline.net/lote/detalhe/296083", " TRATOR CASE MX 260 MAGNUM 4X4 - ANO 2017 - FR31060 - (PÁTIO CCT AGRÍCOLA) - LOC. GASA")</f>
      </c>
      <c r="C73" s="4" t="inlineStr">
        <is>
          <t>Não vendido</t>
        </is>
      </c>
      <c r="D73" s="4" t="inlineStr">
        <is>
          <t>10</t>
        </is>
      </c>
      <c r="E73" s="5" t="inlineStr">
        <is>
          <t>102.500,00</t>
        </is>
      </c>
      <c r="F73" s="4" t="inlineStr">
        <is>
          <t>2500.00</t>
        </is>
      </c>
    </row>
    <row collapsed="false" customFormat="false" customHeight="false" hidden="false" ht="12.1" outlineLevel="0" r="74">
      <c r="A74" s="5" t="s">
        <f>=HYPERLINK("https://www.leilaoonline.net/lote/detalhe/295321", "35277")</f>
      </c>
      <c r="B74" s="4" t="s">
        <f>=HYPERLINK("https://www.leilaoonline.net/lote/detalhe/295321", "SUCATA DE MOTO BOMBA E MOTOR SUCATEADO. - FR81818. - (MOTOR FURADO). - (PÁTIO DESINVESTIMENTO) - LOC. BENALCOOL")</f>
      </c>
      <c r="C74" s="4" t="inlineStr">
        <is>
          <t>Vendido</t>
        </is>
      </c>
      <c r="D74" s="4" t="inlineStr">
        <is>
          <t>11</t>
        </is>
      </c>
      <c r="E74" s="5" t="inlineStr">
        <is>
          <t>3.500,00</t>
        </is>
      </c>
      <c r="F74" s="4" t="inlineStr">
        <is>
          <t>250.00</t>
        </is>
      </c>
    </row>
    <row collapsed="false" customFormat="false" customHeight="false" hidden="false" ht="12.1" outlineLevel="0" r="75">
      <c r="A75" s="5" t="s">
        <f>=HYPERLINK("https://www.leilaoonline.net/lote/detalhe/298702", "35284")</f>
      </c>
      <c r="B75" s="4" t="s">
        <f>=HYPERLINK("https://www.leilaoonline.net/lote/detalhe/298702", " DISTRIBUIDOR TORTA FILTRO ATA1102 - ANO 2018 - FR38074 - (PÁTIO AGRICOLA) - LOC. BENÁLCOOL")</f>
      </c>
      <c r="C75" s="4" t="inlineStr">
        <is>
          <t>Não vendido</t>
        </is>
      </c>
      <c r="D75" s="4" t="inlineStr">
        <is>
          <t>2</t>
        </is>
      </c>
      <c r="E75" s="5" t="inlineStr">
        <is>
          <t>4.000,00</t>
        </is>
      </c>
      <c r="F75" s="4" t="inlineStr">
        <is>
          <t>500.00</t>
        </is>
      </c>
    </row>
    <row collapsed="false" customFormat="false" customHeight="false" hidden="false" ht="12.1" outlineLevel="0" r="76">
      <c r="A76" s="5" t="s">
        <f>=HYPERLINK("https://www.leilaoonline.net/lote/detalhe/299057", "35298")</f>
      </c>
      <c r="B76" s="4" t="s">
        <f>=HYPERLINK("https://www.leilaoonline.net/lote/detalhe/299057", " TANQUE DE FIBRA . - (KAIZEN) LOC. COSTA PINTO ")</f>
      </c>
      <c r="C76" s="4" t="inlineStr">
        <is>
          <t>Vendido</t>
        </is>
      </c>
      <c r="D76" s="4" t="inlineStr">
        <is>
          <t>11</t>
        </is>
      </c>
      <c r="E76" s="5" t="inlineStr">
        <is>
          <t>3.500,00</t>
        </is>
      </c>
      <c r="F76" s="4" t="inlineStr">
        <is>
          <t>250.00</t>
        </is>
      </c>
    </row>
    <row collapsed="false" customFormat="false" customHeight="false" hidden="false" ht="12.1" outlineLevel="0" r="77">
      <c r="A77" s="5" t="s">
        <f>=HYPERLINK("https://www.leilaoonline.net/lote/detalhe/299030", "35299")</f>
      </c>
      <c r="B77" s="4" t="s">
        <f>=HYPERLINK("https://www.leilaoonline.net/lote/detalhe/299030", " LOTE DE 2 TANQUES RETROLAVAGEM. - (KAIZEN) - LOC. COSTA PINTO ")</f>
      </c>
      <c r="C77" s="4" t="inlineStr">
        <is>
          <t>Vendido</t>
        </is>
      </c>
      <c r="D77" s="4" t="inlineStr">
        <is>
          <t>1</t>
        </is>
      </c>
      <c r="E77" s="5" t="inlineStr">
        <is>
          <t>1.000,00</t>
        </is>
      </c>
      <c r="F77" s="4" t="inlineStr">
        <is>
          <t>250.00</t>
        </is>
      </c>
    </row>
    <row collapsed="false" customFormat="false" customHeight="false" hidden="false" ht="12.1" outlineLevel="0" r="78">
      <c r="A78" s="5" t="s">
        <f>=HYPERLINK("https://www.leilaoonline.net/lote/detalhe/299292", "35346")</f>
      </c>
      <c r="B78" s="4" t="s">
        <f>=HYPERLINK("https://www.leilaoonline.net/lote/detalhe/299292", " CAMINHÃO VOLKSWAGEN 15.190 WORKER; ANO 2013/2014; BRANCA. - FR92154. - LOC. JUNQUEIRA ")</f>
      </c>
      <c r="C78" s="4" t="inlineStr">
        <is>
          <t>Não vendido</t>
        </is>
      </c>
      <c r="D78" s="4" t="inlineStr">
        <is>
          <t>38</t>
        </is>
      </c>
      <c r="E78" s="5" t="inlineStr">
        <is>
          <t>121.000,00</t>
        </is>
      </c>
      <c r="F78" s="4" t="inlineStr">
        <is>
          <t>2000.00</t>
        </is>
      </c>
    </row>
    <row collapsed="false" customFormat="false" customHeight="false" hidden="false" ht="12.1" outlineLevel="0" r="79">
      <c r="A79" s="5" t="s">
        <f>=HYPERLINK("https://www.leilaoonline.net/lote/detalhe/300940", "35347")</f>
      </c>
      <c r="B79" s="4" t="s">
        <f>=HYPERLINK("https://www.leilaoonline.net/lote/detalhe/300940", "HIDRO ROLL SETORIAL. - ANO 2013 - FR92854. - LOC. JUNQUEIRA ")</f>
      </c>
      <c r="C79" s="4" t="inlineStr">
        <is>
          <t>Não vendido</t>
        </is>
      </c>
      <c r="D79" s="4" t="inlineStr">
        <is>
          <t>2</t>
        </is>
      </c>
      <c r="E79" s="5" t="inlineStr">
        <is>
          <t>5.500,00</t>
        </is>
      </c>
      <c r="F79" s="4" t="inlineStr">
        <is>
          <t>500.00</t>
        </is>
      </c>
    </row>
    <row collapsed="false" customFormat="false" customHeight="false" hidden="false" ht="12.1" outlineLevel="0" r="80">
      <c r="A80" s="5" t="s">
        <f>=HYPERLINK("https://www.leilaoonline.net/lote/detalhe/300941", "35348")</f>
      </c>
      <c r="B80" s="4" t="s">
        <f>=HYPERLINK("https://www.leilaoonline.net/lote/detalhe/300941", "HIDRO ROLL METALMAG - ANO 2007 - FR92714. - LOC.JUNQUEIRA")</f>
      </c>
      <c r="C80" s="4" t="inlineStr">
        <is>
          <t>Não vendido</t>
        </is>
      </c>
      <c r="D80" s="4" t="inlineStr">
        <is>
          <t>2</t>
        </is>
      </c>
      <c r="E80" s="5" t="inlineStr">
        <is>
          <t>5.500,00</t>
        </is>
      </c>
      <c r="F80" s="4" t="inlineStr">
        <is>
          <t>500.00</t>
        </is>
      </c>
    </row>
    <row collapsed="false" customFormat="false" customHeight="false" hidden="false" ht="12.1" outlineLevel="0" r="81">
      <c r="A81" s="5" t="s">
        <f>=HYPERLINK("https://www.leilaoonline.net/lote/detalhe/299291", "35350")</f>
      </c>
      <c r="B81" s="4" t="s">
        <f>=HYPERLINK("https://www.leilaoonline.net/lote/detalhe/299291", " CAMINHÃO VOLKSWAGEN EURO3 WORKER; ANO 2011/2012; BRANCA. - FR96652. - (VENDA SEM MOTOR) -  LOC. JUNQUEIRA")</f>
      </c>
      <c r="C81" s="4" t="inlineStr">
        <is>
          <t>Não vendido</t>
        </is>
      </c>
      <c r="D81" s="4" t="inlineStr">
        <is>
          <t>59</t>
        </is>
      </c>
      <c r="E81" s="5" t="inlineStr">
        <is>
          <t>81.000,00</t>
        </is>
      </c>
      <c r="F81" s="4" t="inlineStr">
        <is>
          <t>1000.00</t>
        </is>
      </c>
    </row>
    <row collapsed="false" customFormat="false" customHeight="false" hidden="false" ht="12.1" outlineLevel="0" r="82">
      <c r="A82" s="5" t="s">
        <f>=HYPERLINK("https://www.leilaoonline.net/lote/detalhe/297818", "35436")</f>
      </c>
      <c r="B82" s="4" t="s">
        <f>=HYPERLINK("https://www.leilaoonline.net/lote/detalhe/297818", "CAMINHÃO VOLKSWAGEN 26.280 CRM 6X4; ANO 2013/2013; BRANCA. - FR112227. -(PÁTIO DESINVESTIMENTO). - LOC. GASA ")</f>
      </c>
      <c r="C82" s="4" t="inlineStr">
        <is>
          <t>Vendido</t>
        </is>
      </c>
      <c r="D82" s="4" t="inlineStr">
        <is>
          <t>107</t>
        </is>
      </c>
      <c r="E82" s="5" t="inlineStr">
        <is>
          <t>160.000,00</t>
        </is>
      </c>
      <c r="F82" s="4" t="inlineStr">
        <is>
          <t>2000.00</t>
        </is>
      </c>
    </row>
    <row collapsed="false" customFormat="false" customHeight="false" hidden="false" ht="12.1" outlineLevel="0" r="83">
      <c r="A83" s="5" t="s">
        <f>=HYPERLINK("https://www.leilaoonline.net/lote/detalhe/297796", "35437")</f>
      </c>
      <c r="B83" s="4" t="s">
        <f>=HYPERLINK("https://www.leilaoonline.net/lote/detalhe/297796", " COLHEDORA  JOHN DEERE3522; ANO 2013. - FR10758. - (PÁTIO DESINVESTIMENTO). - LOC. GASA ")</f>
      </c>
      <c r="C83" s="4" t="inlineStr">
        <is>
          <t>Não vendido</t>
        </is>
      </c>
      <c r="D83" s="4" t="inlineStr">
        <is>
          <t>3</t>
        </is>
      </c>
      <c r="E83" s="5" t="inlineStr">
        <is>
          <t>22.000,00</t>
        </is>
      </c>
      <c r="F83" s="4" t="inlineStr">
        <is>
          <t>1000.00</t>
        </is>
      </c>
    </row>
    <row collapsed="false" customFormat="false" customHeight="false" hidden="false" ht="12.1" outlineLevel="0" r="84">
      <c r="A84" s="5" t="s">
        <f>=HYPERLINK("https://www.leilaoonline.net/lote/detalhe/297827", "35439")</f>
      </c>
      <c r="B84" s="4" t="s">
        <f>=HYPERLINK("https://www.leilaoonline.net/lote/detalhe/297827", " PEÇAS DE REPOSIÇÃO EQUIP. AGRICOLA DIVERSAS. - S/N. -(PÁTIO DESINVESTIMENTO). -  LOC. MUNDIAL ")</f>
      </c>
      <c r="C84" s="4" t="inlineStr">
        <is>
          <t>Vendido</t>
        </is>
      </c>
      <c r="D84" s="4" t="inlineStr">
        <is>
          <t>9</t>
        </is>
      </c>
      <c r="E84" s="5" t="inlineStr">
        <is>
          <t>3.000,00</t>
        </is>
      </c>
      <c r="F84" s="4" t="inlineStr">
        <is>
          <t>250.00</t>
        </is>
      </c>
    </row>
    <row collapsed="false" customFormat="false" customHeight="false" hidden="false" ht="12.1" outlineLevel="0" r="85">
      <c r="A85" s="5" t="s">
        <f>=HYPERLINK("https://www.leilaoonline.net/lote/detalhe/297825", "35440")</f>
      </c>
      <c r="B85" s="4" t="s">
        <f>=HYPERLINK("https://www.leilaoonline.net/lote/detalhe/297825", "SUCATA DE ESTEIRA DE CAMINHÃO ABAFADOR - APROX. 900 KG. - (VENDA POR KG). - S/N. -(PÁTIO DESINVESTIMENTO). - LOC. MUNDIAL ")</f>
      </c>
      <c r="C85" s="4" t="inlineStr">
        <is>
          <t>Vendido</t>
        </is>
      </c>
      <c r="D85" s="4" t="inlineStr">
        <is>
          <t>7</t>
        </is>
      </c>
      <c r="E85" s="5" t="inlineStr">
        <is>
          <t>6.750,00</t>
        </is>
      </c>
      <c r="F85" s="4" t="inlineStr">
        <is>
          <t>1.00</t>
        </is>
      </c>
    </row>
    <row collapsed="false" customFormat="false" customHeight="false" hidden="false" ht="12.1" outlineLevel="0" r="86">
      <c r="A86" s="5" t="s">
        <f>=HYPERLINK("https://www.leilaoonline.net/lote/detalhe/297798", "35441")</f>
      </c>
      <c r="B86" s="4" t="s">
        <f>=HYPERLINK("https://www.leilaoonline.net/lote/detalhe/297798", " TRATOR JOHN DEERE 7225J; ANO 2016. - FR12343. -(PÁTIO DESINVESTIMENTO). - LOC. MUNDIAL ")</f>
      </c>
      <c r="C86" s="4" t="inlineStr">
        <is>
          <t>Não vendido</t>
        </is>
      </c>
      <c r="D86" s="4" t="inlineStr">
        <is>
          <t>19</t>
        </is>
      </c>
      <c r="E86" s="5" t="inlineStr">
        <is>
          <t>48.000,00</t>
        </is>
      </c>
      <c r="F86" s="4" t="inlineStr">
        <is>
          <t>1000.00</t>
        </is>
      </c>
    </row>
    <row collapsed="false" customFormat="false" customHeight="false" hidden="false" ht="12.1" outlineLevel="0" r="87">
      <c r="A87" s="5" t="s">
        <f>=HYPERLINK("https://www.leilaoonline.net/lote/detalhe/297839", "35442")</f>
      </c>
      <c r="B87" s="4" t="s">
        <f>=HYPERLINK("https://www.leilaoonline.net/lote/detalhe/297839", "PEÇAS DE REPOSIÇÕES EQUIP. AGRICOLAS DIVERSAS. S/ID. - LOC. UNIVALEM ")</f>
      </c>
      <c r="C87" s="4" t="inlineStr">
        <is>
          <t>Vendido</t>
        </is>
      </c>
      <c r="D87" s="4" t="inlineStr">
        <is>
          <t>52</t>
        </is>
      </c>
      <c r="E87" s="5" t="inlineStr">
        <is>
          <t>25.500,00</t>
        </is>
      </c>
      <c r="F87" s="4" t="inlineStr">
        <is>
          <t>1000.00</t>
        </is>
      </c>
    </row>
    <row collapsed="false" customFormat="false" customHeight="false" hidden="false" ht="12.1" outlineLevel="0" r="88">
      <c r="A88" s="5" t="s">
        <f>=HYPERLINK("https://www.leilaoonline.net/lote/detalhe/297816", "35443")</f>
      </c>
      <c r="B88" s="4" t="s">
        <f>=HYPERLINK("https://www.leilaoonline.net/lote/detalhe/297816", " CAIXA DE APLICADOR CARDEOLI. - S/N. - (PÁTIO AGRICOLA PROXIMO A BORRACHARIA). - LOC.UNIVALEM  ")</f>
      </c>
      <c r="C88" s="4" t="inlineStr">
        <is>
          <t>Não vendido</t>
        </is>
      </c>
      <c r="D88" s="4" t="inlineStr">
        <is>
          <t>0</t>
        </is>
      </c>
      <c r="E88" s="5" t="inlineStr">
        <is>
          <t>1.000,00</t>
        </is>
      </c>
      <c r="F88" s="4" t="inlineStr">
        <is>
          <t>250.00</t>
        </is>
      </c>
    </row>
    <row collapsed="false" customFormat="false" customHeight="false" hidden="false" ht="12.1" outlineLevel="0" r="89">
      <c r="A89" s="5" t="s">
        <f>=HYPERLINK("https://www.leilaoonline.net/lote/detalhe/297817", "35444")</f>
      </c>
      <c r="B89" s="4" t="s">
        <f>=HYPERLINK("https://www.leilaoonline.net/lote/detalhe/297817", " PLANTADORA CANA; ANO 2014. - FR17271. -(PÁTIO AGRICOLA PROXIMO A BORRACHARIA). -  LOC. UNIVALEM  ")</f>
      </c>
      <c r="C89" s="4" t="inlineStr">
        <is>
          <t>Não vendido</t>
        </is>
      </c>
      <c r="D89" s="4" t="inlineStr">
        <is>
          <t>3</t>
        </is>
      </c>
      <c r="E89" s="5" t="inlineStr">
        <is>
          <t>11.000,00</t>
        </is>
      </c>
      <c r="F89" s="4" t="inlineStr">
        <is>
          <t>500.00</t>
        </is>
      </c>
    </row>
    <row collapsed="false" customFormat="false" customHeight="false" hidden="false" ht="12.1" outlineLevel="0" r="90">
      <c r="A90" s="5" t="s">
        <f>=HYPERLINK("https://www.leilaoonline.net/lote/detalhe/297801", "35445")</f>
      </c>
      <c r="B90" s="4" t="s">
        <f>=HYPERLINK("https://www.leilaoonline.net/lote/detalhe/297801", " SUCATA DE TRANSPORTADOR HELICOIDAL IMPLEMENTO - APROX. 500 KG; ( VENDA POR KG). - S/ID. - LOC. UNIVALEM ")</f>
      </c>
      <c r="C90" s="4" t="inlineStr">
        <is>
          <t>Vendido</t>
        </is>
      </c>
      <c r="D90" s="4" t="inlineStr">
        <is>
          <t>5</t>
        </is>
      </c>
      <c r="E90" s="5" t="inlineStr">
        <is>
          <t>2.500,00</t>
        </is>
      </c>
      <c r="F90" s="4" t="inlineStr">
        <is>
          <t>0.50</t>
        </is>
      </c>
    </row>
    <row collapsed="false" customFormat="false" customHeight="false" hidden="false" ht="12.1" outlineLevel="0" r="91">
      <c r="A91" s="5" t="s">
        <f>=HYPERLINK("https://www.leilaoonline.net/lote/detalhe/297819", "35446")</f>
      </c>
      <c r="B91" s="4" t="s">
        <f>=HYPERLINK("https://www.leilaoonline.net/lote/detalhe/297819", " ARADO MOD GNCF 36; ANO 2006. - FR84830. - (PÁTIO AGRICOLA PROXIMO A BORRACHARIA). - LOC. UNIVALEM ")</f>
      </c>
      <c r="C91" s="4" t="inlineStr">
        <is>
          <t>Vendido</t>
        </is>
      </c>
      <c r="D91" s="4" t="inlineStr">
        <is>
          <t>4</t>
        </is>
      </c>
      <c r="E91" s="5" t="inlineStr">
        <is>
          <t>2.250,00</t>
        </is>
      </c>
      <c r="F91" s="4" t="inlineStr">
        <is>
          <t>250.00</t>
        </is>
      </c>
    </row>
    <row collapsed="false" customFormat="false" customHeight="false" hidden="false" ht="12.1" outlineLevel="0" r="92">
      <c r="A92" s="5" t="s">
        <f>=HYPERLINK("https://www.leilaoonline.net/lote/detalhe/297820", "35450")</f>
      </c>
      <c r="B92" s="4" t="s">
        <f>=HYPERLINK("https://www.leilaoonline.net/lote/detalhe/297820", "COLHEDORA JOHN DEERE; ANO 2014. - FR173215. - (PATIO DESINVESTIMENTO) - LOC. BENALCOOL")</f>
      </c>
      <c r="C92" s="4" t="inlineStr">
        <is>
          <t>Não vendido</t>
        </is>
      </c>
      <c r="D92" s="4" t="inlineStr">
        <is>
          <t>17</t>
        </is>
      </c>
      <c r="E92" s="5" t="inlineStr">
        <is>
          <t>36.000,00</t>
        </is>
      </c>
      <c r="F92" s="4" t="inlineStr">
        <is>
          <t>1000.00</t>
        </is>
      </c>
    </row>
    <row collapsed="false" customFormat="false" customHeight="false" hidden="false" ht="12.1" outlineLevel="0" r="93">
      <c r="A93" s="5" t="s">
        <f>=HYPERLINK("https://www.leilaoonline.net/lote/detalhe/297823", "35451")</f>
      </c>
      <c r="B93" s="4" t="s">
        <f>=HYPERLINK("https://www.leilaoonline.net/lote/detalhe/297823", " REBOQUE FACCHINI RF CA; ANO 2007/2007; VERDE. - FR173828 - (PÁTIO DESINVESTIMENTO). - LOC. BENALCOOL ")</f>
      </c>
      <c r="C93" s="4" t="inlineStr">
        <is>
          <t>Não vendido</t>
        </is>
      </c>
      <c r="D93" s="4" t="inlineStr">
        <is>
          <t>11</t>
        </is>
      </c>
      <c r="E93" s="5" t="inlineStr">
        <is>
          <t>20.000,00</t>
        </is>
      </c>
      <c r="F93" s="4" t="inlineStr">
        <is>
          <t>1000.00</t>
        </is>
      </c>
    </row>
    <row collapsed="false" customFormat="false" customHeight="false" hidden="false" ht="12.1" outlineLevel="0" r="94">
      <c r="A94" s="5" t="s">
        <f>=HYPERLINK("https://www.leilaoonline.net/lote/detalhe/297810", "35452")</f>
      </c>
      <c r="B94" s="4" t="s">
        <f>=HYPERLINK("https://www.leilaoonline.net/lote/detalhe/297810", " CARRETA ABRIGO SUCATEADA FAB. PRÓPRIA. - S/FR. - (AREA EXTERNA - PÁTIO VINHAÇA) - LOC. BENALCOOL ")</f>
      </c>
      <c r="C94" s="4" t="inlineStr">
        <is>
          <t>Não vendido</t>
        </is>
      </c>
      <c r="D94" s="4" t="inlineStr">
        <is>
          <t>1</t>
        </is>
      </c>
      <c r="E94" s="5" t="inlineStr">
        <is>
          <t>2.000,00</t>
        </is>
      </c>
      <c r="F94" s="4" t="inlineStr">
        <is>
          <t>250.00</t>
        </is>
      </c>
    </row>
    <row collapsed="false" customFormat="false" customHeight="false" hidden="false" ht="12.1" outlineLevel="0" r="95">
      <c r="A95" s="5" t="s">
        <f>=HYPERLINK("https://www.leilaoonline.net/lote/detalhe/297795", "35453")</f>
      </c>
      <c r="B95" s="4" t="s">
        <f>=HYPERLINK("https://www.leilaoonline.net/lote/detalhe/297795", " MOTO BOMBA M. BENZ OM 447A 320CV 1800RPM; ANO 2010. -  FR173459. -(PÁTIO DESINVESTIMENTO). - LOC. BENALCOOL")</f>
      </c>
      <c r="C95" s="4" t="inlineStr">
        <is>
          <t>Vendido</t>
        </is>
      </c>
      <c r="D95" s="4" t="inlineStr">
        <is>
          <t>31</t>
        </is>
      </c>
      <c r="E95" s="5" t="inlineStr">
        <is>
          <t>26.000,00</t>
        </is>
      </c>
      <c r="F95" s="4" t="inlineStr">
        <is>
          <t>1000.00</t>
        </is>
      </c>
    </row>
    <row collapsed="false" customFormat="false" customHeight="false" hidden="false" ht="12.1" outlineLevel="0" r="96">
      <c r="A96" s="5" t="s">
        <f>=HYPERLINK("https://www.leilaoonline.net/lote/detalhe/297828", "35455")</f>
      </c>
      <c r="B96" s="4" t="s">
        <f>=HYPERLINK("https://www.leilaoonline.net/lote/detalhe/297828", " ESTRUTURA DE BARRACÃO. - S/FR. (ÁREA EXTERNA - PRÓX. AO ALOJ. DO SETOR DE VINHAÇA) -  LOC. DESTIVALE ")</f>
      </c>
      <c r="C96" s="4" t="inlineStr">
        <is>
          <t>Não vendido</t>
        </is>
      </c>
      <c r="D96" s="4" t="inlineStr">
        <is>
          <t>50</t>
        </is>
      </c>
      <c r="E96" s="5" t="inlineStr">
        <is>
          <t>37.000,00</t>
        </is>
      </c>
      <c r="F96" s="4" t="inlineStr">
        <is>
          <t>1000.00</t>
        </is>
      </c>
    </row>
    <row collapsed="false" customFormat="false" customHeight="false" hidden="false" ht="12.1" outlineLevel="0" r="97">
      <c r="A97" s="5" t="s">
        <f>=HYPERLINK("https://www.leilaoonline.net/lote/detalhe/297826", "35456")</f>
      </c>
      <c r="B97" s="4" t="s">
        <f>=HYPERLINK("https://www.leilaoonline.net/lote/detalhe/297826", " CABINE SUCATEADA. - N/E. - (ÁREA EXTERNA - PRÓX. AO ALOJ. DO SETOR DE VINHAÇA) - LOC. DESTIVALE")</f>
      </c>
      <c r="C97" s="4" t="inlineStr">
        <is>
          <t>Vendido</t>
        </is>
      </c>
      <c r="D97" s="4" t="inlineStr">
        <is>
          <t>2</t>
        </is>
      </c>
      <c r="E97" s="5" t="inlineStr">
        <is>
          <t>600,00</t>
        </is>
      </c>
      <c r="F97" s="4" t="inlineStr">
        <is>
          <t>100.00</t>
        </is>
      </c>
    </row>
    <row collapsed="false" customFormat="false" customHeight="false" hidden="false" ht="12.1" outlineLevel="0" r="98">
      <c r="A98" s="5" t="s">
        <f>=HYPERLINK("https://www.leilaoonline.net/lote/detalhe/299050", "35458")</f>
      </c>
      <c r="B98" s="4" t="s">
        <f>=HYPERLINK("https://www.leilaoonline.net/lote/detalhe/299050", " TRANSBORDO CIVEMASA 10T; ANO 2006. - FR22717. - (DESINVESTIMENTO) LOC. BOM RETIRO ")</f>
      </c>
      <c r="C98" s="4" t="inlineStr">
        <is>
          <t>Não vendido</t>
        </is>
      </c>
      <c r="D98" s="4" t="inlineStr">
        <is>
          <t>0</t>
        </is>
      </c>
      <c r="E98" s="5" t="inlineStr">
        <is>
          <t>10.000,00</t>
        </is>
      </c>
      <c r="F98" s="4" t="inlineStr">
        <is>
          <t>500.00</t>
        </is>
      </c>
    </row>
    <row collapsed="false" customFormat="false" customHeight="false" hidden="false" ht="12.1" outlineLevel="0" r="99">
      <c r="A99" s="5" t="s">
        <f>=HYPERLINK("https://www.leilaoonline.net/lote/detalhe/299035", "35460")</f>
      </c>
      <c r="B99" s="4" t="s">
        <f>=HYPERLINK("https://www.leilaoonline.net/lote/detalhe/299035", " TRANSBORDO SMR 10500 10T; ANO 2007. - FR38318. - (DESINVESTIMENTO) LOC. BOM RETIRO ")</f>
      </c>
      <c r="C99" s="4" t="inlineStr">
        <is>
          <t>Não vendido</t>
        </is>
      </c>
      <c r="D99" s="4" t="inlineStr">
        <is>
          <t>0</t>
        </is>
      </c>
      <c r="E99" s="5" t="inlineStr">
        <is>
          <t>10.000,00</t>
        </is>
      </c>
      <c r="F99" s="4" t="inlineStr">
        <is>
          <t>500.00</t>
        </is>
      </c>
    </row>
    <row collapsed="false" customFormat="false" customHeight="false" hidden="false" ht="12.1" outlineLevel="0" r="100">
      <c r="A100" s="5" t="s">
        <f>=HYPERLINK("https://www.leilaoonline.net/lote/detalhe/299048", "35462")</f>
      </c>
      <c r="B100" s="4" t="s">
        <f>=HYPERLINK("https://www.leilaoonline.net/lote/detalhe/299048", " TRANSBORDO CIVEMASA 10T; ANO 2006. - FR22716. - (DESINVESTIMENTO) LOC. BOM RETIRO ")</f>
      </c>
      <c r="C100" s="4" t="inlineStr">
        <is>
          <t>Vendido</t>
        </is>
      </c>
      <c r="D100" s="4" t="inlineStr">
        <is>
          <t>1</t>
        </is>
      </c>
      <c r="E100" s="5" t="inlineStr">
        <is>
          <t>10.000,00</t>
        </is>
      </c>
      <c r="F100" s="4" t="inlineStr">
        <is>
          <t>500.00</t>
        </is>
      </c>
    </row>
    <row collapsed="false" customFormat="false" customHeight="false" hidden="false" ht="12.1" outlineLevel="0" r="101">
      <c r="A101" s="5" t="s">
        <f>=HYPERLINK("https://www.leilaoonline.net/lote/detalhe/299061", "35463")</f>
      </c>
      <c r="B101" s="4" t="s">
        <f>=HYPERLINK("https://www.leilaoonline.net/lote/detalhe/299061", " REB/RANDONSP  RQ CA; ANO 2010/2010; AZUL. - FR139696. - (Pátio Industria) LOC. BOM RETIRO")</f>
      </c>
      <c r="C101" s="4" t="inlineStr">
        <is>
          <t>Vendido</t>
        </is>
      </c>
      <c r="D101" s="4" t="inlineStr">
        <is>
          <t>22</t>
        </is>
      </c>
      <c r="E101" s="5" t="inlineStr">
        <is>
          <t>41.000,00</t>
        </is>
      </c>
      <c r="F101" s="4" t="inlineStr">
        <is>
          <t>1000.00</t>
        </is>
      </c>
    </row>
    <row collapsed="false" customFormat="false" customHeight="false" hidden="false" ht="12.1" outlineLevel="0" r="102">
      <c r="A102" s="5" t="s">
        <f>=HYPERLINK("https://www.leilaoonline.net/lote/detalhe/299039", "35464")</f>
      </c>
      <c r="B102" s="4" t="s">
        <f>=HYPERLINK("https://www.leilaoonline.net/lote/detalhe/299039", " CALANDRA. - (PÁTIO INDUSTRIA) LOC. BOM RETIRO ")</f>
      </c>
      <c r="C102" s="4" t="inlineStr">
        <is>
          <t>Vendido</t>
        </is>
      </c>
      <c r="D102" s="4" t="inlineStr">
        <is>
          <t>60</t>
        </is>
      </c>
      <c r="E102" s="5" t="inlineStr">
        <is>
          <t>43.000,00</t>
        </is>
      </c>
      <c r="F102" s="4" t="inlineStr">
        <is>
          <t>1000.00</t>
        </is>
      </c>
    </row>
    <row collapsed="false" customFormat="false" customHeight="false" hidden="false" ht="12.1" outlineLevel="0" r="103">
      <c r="A103" s="5" t="s">
        <f>=HYPERLINK("https://www.leilaoonline.net/lote/detalhe/299041", "35465")</f>
      </c>
      <c r="B103" s="4" t="s">
        <f>=HYPERLINK("https://www.leilaoonline.net/lote/detalhe/299041", " LOTE DE LONA DE BORRACHA. - (PÁTIO INDUSTRIA) LOC. BOM RETIRO ")</f>
      </c>
      <c r="C103" s="4" t="inlineStr">
        <is>
          <t>Vendido</t>
        </is>
      </c>
      <c r="D103" s="4" t="inlineStr">
        <is>
          <t>4</t>
        </is>
      </c>
      <c r="E103" s="5" t="inlineStr">
        <is>
          <t>1.600,00</t>
        </is>
      </c>
      <c r="F103" s="4" t="inlineStr">
        <is>
          <t>200.00</t>
        </is>
      </c>
    </row>
    <row collapsed="false" customFormat="false" customHeight="false" hidden="false" ht="12.1" outlineLevel="0" r="104">
      <c r="A104" s="5" t="s">
        <f>=HYPERLINK("https://www.leilaoonline.net/lote/detalhe/299074", "35466")</f>
      </c>
      <c r="B104" s="4" t="s">
        <f>=HYPERLINK("https://www.leilaoonline.net/lote/detalhe/299074", " TURBINA A VAPOR EQUIPE TE-500-11-0 500CV. - PT52800. - (Torre Alpina) LOC. BOM RETIRO ")</f>
      </c>
      <c r="C104" s="4" t="inlineStr">
        <is>
          <t>Não vendido</t>
        </is>
      </c>
      <c r="D104" s="4" t="inlineStr">
        <is>
          <t>1</t>
        </is>
      </c>
      <c r="E104" s="5" t="inlineStr">
        <is>
          <t>1.500,00</t>
        </is>
      </c>
      <c r="F104" s="4" t="inlineStr">
        <is>
          <t>250.00</t>
        </is>
      </c>
    </row>
    <row collapsed="false" customFormat="false" customHeight="false" hidden="false" ht="12.1" outlineLevel="0" r="105">
      <c r="A105" s="5" t="s">
        <f>=HYPERLINK("https://www.leilaoonline.net/lote/detalhe/299072", "35467")</f>
      </c>
      <c r="B105" s="4" t="s">
        <f>=HYPERLINK("https://www.leilaoonline.net/lote/detalhe/299072", " MOTOBOMBA CENTRIF DIESEL 6X5POL 360M3 H - SUCATEADA; ANO 2019. - FR50096. - (DESINVESTIMENTO) LOC. BOM RETIRO ")</f>
      </c>
      <c r="C105" s="4" t="inlineStr">
        <is>
          <t>Vendido</t>
        </is>
      </c>
      <c r="D105" s="4" t="inlineStr">
        <is>
          <t>7</t>
        </is>
      </c>
      <c r="E105" s="5" t="inlineStr">
        <is>
          <t>4.850,00</t>
        </is>
      </c>
      <c r="F105" s="4" t="inlineStr">
        <is>
          <t>250.00</t>
        </is>
      </c>
    </row>
    <row collapsed="false" customFormat="false" customHeight="false" hidden="false" ht="12.1" outlineLevel="0" r="106">
      <c r="A106" s="5" t="s">
        <f>=HYPERLINK("https://www.leilaoonline.net/lote/detalhe/299038", "35469")</f>
      </c>
      <c r="B106" s="4" t="s">
        <f>=HYPERLINK("https://www.leilaoonline.net/lote/detalhe/299038", " DISTRIB. TORTA DE FILTRO 2L; ANO 2015. - FR67187. - (Agricola) LOC. RAFARD")</f>
      </c>
      <c r="C106" s="4" t="inlineStr">
        <is>
          <t>Não vendido</t>
        </is>
      </c>
      <c r="D106" s="4" t="inlineStr">
        <is>
          <t>17</t>
        </is>
      </c>
      <c r="E106" s="5" t="inlineStr">
        <is>
          <t>11.500,00</t>
        </is>
      </c>
      <c r="F106" s="4" t="inlineStr">
        <is>
          <t>500.00</t>
        </is>
      </c>
    </row>
    <row collapsed="false" customFormat="false" customHeight="false" hidden="false" ht="12.1" outlineLevel="0" r="107">
      <c r="A107" s="5" t="s">
        <f>=HYPERLINK("https://www.leilaoonline.net/lote/detalhe/299044", "35475")</f>
      </c>
      <c r="B107" s="4" t="s">
        <f>=HYPERLINK("https://www.leilaoonline.net/lote/detalhe/299044", " MÁQUINA PARA MEDIR FIOS E CABOS COAXIAL C/MARCADOR METRAGEM. - PT.156080. - (DESINVESTIMENTO) LOC. RAFARD")</f>
      </c>
      <c r="C107" s="4" t="inlineStr">
        <is>
          <t>Não vendido</t>
        </is>
      </c>
      <c r="D107" s="4" t="inlineStr">
        <is>
          <t>0</t>
        </is>
      </c>
      <c r="E107" s="5" t="inlineStr">
        <is>
          <t>500,00</t>
        </is>
      </c>
      <c r="F107" s="4" t="inlineStr">
        <is>
          <t>100.00</t>
        </is>
      </c>
    </row>
    <row collapsed="false" customFormat="false" customHeight="false" hidden="false" ht="12.1" outlineLevel="0" r="108">
      <c r="A108" s="5" t="s">
        <f>=HYPERLINK("https://www.leilaoonline.net/lote/detalhe/299071", "35476")</f>
      </c>
      <c r="B108" s="4" t="s">
        <f>=HYPERLINK("https://www.leilaoonline.net/lote/detalhe/299071", " LOTE DE 03 SUCATAS DE MAQUINAS DE SOLDA. - (DESINVESTIMENTO) LOC. RAFARD")</f>
      </c>
      <c r="C108" s="4" t="inlineStr">
        <is>
          <t>Não vendido</t>
        </is>
      </c>
      <c r="D108" s="4" t="inlineStr">
        <is>
          <t>1</t>
        </is>
      </c>
      <c r="E108" s="5" t="inlineStr">
        <is>
          <t>1.000,00</t>
        </is>
      </c>
      <c r="F108" s="4" t="inlineStr">
        <is>
          <t>200.00</t>
        </is>
      </c>
    </row>
    <row collapsed="false" customFormat="false" customHeight="false" hidden="false" ht="12.1" outlineLevel="0" r="109">
      <c r="A109" s="5" t="s">
        <f>=HYPERLINK("https://www.leilaoonline.net/lote/detalhe/299046", "35477")</f>
      </c>
      <c r="B109" s="4" t="s">
        <f>=HYPERLINK("https://www.leilaoonline.net/lote/detalhe/299046", " MUFLA. - PT. 245778/209862. -(DESINVESTIMENTO) LOC. RAFARD ")</f>
      </c>
      <c r="C109" s="4" t="inlineStr">
        <is>
          <t>Não vendido</t>
        </is>
      </c>
      <c r="D109" s="4" t="inlineStr">
        <is>
          <t>0</t>
        </is>
      </c>
      <c r="E109" s="5" t="inlineStr">
        <is>
          <t>1.000,00</t>
        </is>
      </c>
      <c r="F109" s="4" t="inlineStr">
        <is>
          <t>200.00</t>
        </is>
      </c>
    </row>
    <row collapsed="false" customFormat="false" customHeight="false" hidden="false" ht="12.1" outlineLevel="0" r="110">
      <c r="A110" s="5" t="s">
        <f>=HYPERLINK("https://www.leilaoonline.net/lote/detalhe/299052", "35478")</f>
      </c>
      <c r="B110" s="4" t="s">
        <f>=HYPERLINK("https://www.leilaoonline.net/lote/detalhe/299052", " FURADEIRA DE COLUNA SCHURLZ FSC32P. - (DESINVESTIMENTO) LOC. RAFARD ")</f>
      </c>
      <c r="C110" s="4" t="inlineStr">
        <is>
          <t>Não vendido</t>
        </is>
      </c>
      <c r="D110" s="4" t="inlineStr">
        <is>
          <t>0</t>
        </is>
      </c>
      <c r="E110" s="5" t="inlineStr">
        <is>
          <t>1.000,00</t>
        </is>
      </c>
      <c r="F110" s="4" t="inlineStr">
        <is>
          <t>200.00</t>
        </is>
      </c>
    </row>
    <row collapsed="false" customFormat="false" customHeight="false" hidden="false" ht="12.1" outlineLevel="0" r="111">
      <c r="A111" s="5" t="s">
        <f>=HYPERLINK("https://www.leilaoonline.net/lote/detalhe/299045", "35479")</f>
      </c>
      <c r="B111" s="4" t="s">
        <f>=HYPERLINK("https://www.leilaoonline.net/lote/detalhe/299045", " 04 GERADORES . - (DESINVESTIMENTO) LOC. RAFARD")</f>
      </c>
      <c r="C111" s="4" t="inlineStr">
        <is>
          <t>Vendido</t>
        </is>
      </c>
      <c r="D111" s="4" t="inlineStr">
        <is>
          <t>11</t>
        </is>
      </c>
      <c r="E111" s="5" t="inlineStr">
        <is>
          <t>9.000,00</t>
        </is>
      </c>
      <c r="F111" s="4" t="inlineStr">
        <is>
          <t>500.00</t>
        </is>
      </c>
    </row>
    <row collapsed="false" customFormat="false" customHeight="false" hidden="false" ht="12.1" outlineLevel="0" r="112">
      <c r="A112" s="5" t="s">
        <f>=HYPERLINK("https://www.leilaoonline.net/lote/detalhe/299070", "35480")</f>
      </c>
      <c r="B112" s="4" t="s">
        <f>=HYPERLINK("https://www.leilaoonline.net/lote/detalhe/299070", " LOTE DE 14 PEÇAS AUTOMOTIVAS ( BOMBAS E MOTOR DE COLHEDORAS); (DESINVESTIMENTO) LOC. RAFARD")</f>
      </c>
      <c r="C112" s="4" t="inlineStr">
        <is>
          <t>Vendido</t>
        </is>
      </c>
      <c r="D112" s="4" t="inlineStr">
        <is>
          <t>33</t>
        </is>
      </c>
      <c r="E112" s="5" t="inlineStr">
        <is>
          <t>14.000,00</t>
        </is>
      </c>
      <c r="F112" s="4" t="inlineStr">
        <is>
          <t>500.00</t>
        </is>
      </c>
    </row>
    <row collapsed="false" customFormat="false" customHeight="false" hidden="false" ht="12.1" outlineLevel="0" r="113">
      <c r="A113" s="5" t="s">
        <f>=HYPERLINK("https://www.leilaoonline.net/lote/detalhe/299066", "35481")</f>
      </c>
      <c r="B113" s="4" t="s">
        <f>=HYPERLINK("https://www.leilaoonline.net/lote/detalhe/299066", " COMPRESSOR. - PT.258808. - ( DESINVESTIMENTO) LOC. RAFARD ")</f>
      </c>
      <c r="C113" s="4" t="inlineStr">
        <is>
          <t>Vendido</t>
        </is>
      </c>
      <c r="D113" s="4" t="inlineStr">
        <is>
          <t>11</t>
        </is>
      </c>
      <c r="E113" s="5" t="inlineStr">
        <is>
          <t>5.000,00</t>
        </is>
      </c>
      <c r="F113" s="4" t="inlineStr">
        <is>
          <t>250.00</t>
        </is>
      </c>
    </row>
    <row collapsed="false" customFormat="false" customHeight="false" hidden="false" ht="12.1" outlineLevel="0" r="114">
      <c r="A114" s="5" t="s">
        <f>=HYPERLINK("https://www.leilaoonline.net/lote/detalhe/299047", "35482")</f>
      </c>
      <c r="B114" s="4" t="s">
        <f>=HYPERLINK("https://www.leilaoonline.net/lote/detalhe/299047", " GARRA HIDRÁULICA. - PAT.GA72000. - (PÁTIO INDUSTRIA) - LOC. SÃO FRANCISCO ")</f>
      </c>
      <c r="C114" s="4" t="inlineStr">
        <is>
          <t>Vendido</t>
        </is>
      </c>
      <c r="D114" s="4" t="inlineStr">
        <is>
          <t>1</t>
        </is>
      </c>
      <c r="E114" s="5" t="inlineStr">
        <is>
          <t>1.500,00</t>
        </is>
      </c>
      <c r="F114" s="4" t="inlineStr">
        <is>
          <t>250.00</t>
        </is>
      </c>
    </row>
    <row collapsed="false" customFormat="false" customHeight="false" hidden="false" ht="12.1" outlineLevel="0" r="115">
      <c r="A115" s="5" t="s">
        <f>=HYPERLINK("https://www.leilaoonline.net/lote/detalhe/299033", "35483")</f>
      </c>
      <c r="B115" s="4" t="s">
        <f>=HYPERLINK("https://www.leilaoonline.net/lote/detalhe/299033", " LOTE DE 03 MOTORES, 01 VALVULA, 02 BOMBAS. - (PÁTIO INDUSTRIA) LOC. SÃO FRANCISCO ")</f>
      </c>
      <c r="C115" s="4" t="inlineStr">
        <is>
          <t>Vendido</t>
        </is>
      </c>
      <c r="D115" s="4" t="inlineStr">
        <is>
          <t>9</t>
        </is>
      </c>
      <c r="E115" s="5" t="inlineStr">
        <is>
          <t>7.000,00</t>
        </is>
      </c>
      <c r="F115" s="4" t="inlineStr">
        <is>
          <t>500.00</t>
        </is>
      </c>
    </row>
    <row collapsed="false" customFormat="false" customHeight="false" hidden="false" ht="12.1" outlineLevel="0" r="116">
      <c r="A116" s="5" t="s">
        <f>=HYPERLINK("https://www.leilaoonline.net/lote/detalhe/299067", "35486")</f>
      </c>
      <c r="B116" s="4" t="s">
        <f>=HYPERLINK("https://www.leilaoonline.net/lote/detalhe/299067", " DISTRIBUIDOR TORTA FILTRO ATA1102; ANO 2018. - FR57369. - (AUTOMOTIVO) LOC. SÃO FRANCISCO")</f>
      </c>
      <c r="C116" s="4" t="inlineStr">
        <is>
          <t>Não vendido</t>
        </is>
      </c>
      <c r="D116" s="4" t="inlineStr">
        <is>
          <t>3</t>
        </is>
      </c>
      <c r="E116" s="5" t="inlineStr">
        <is>
          <t>4.500,00</t>
        </is>
      </c>
      <c r="F116" s="4" t="inlineStr">
        <is>
          <t>500.00</t>
        </is>
      </c>
    </row>
    <row collapsed="false" customFormat="false" customHeight="false" hidden="false" ht="12.1" outlineLevel="0" r="117">
      <c r="A117" s="5" t="s">
        <f>=HYPERLINK("https://www.leilaoonline.net/lote/detalhe/299062", "35488")</f>
      </c>
      <c r="B117" s="4" t="s">
        <f>=HYPERLINK("https://www.leilaoonline.net/lote/detalhe/299062", " LOTE DE 06 CARCAÇAS DE PNEUS (1-600/65R28, 1-540/65R28, 4 600/70R30. - ( BORRACHARIA) LOC. SÃO FRANCISCO ")</f>
      </c>
      <c r="C117" s="4" t="inlineStr">
        <is>
          <t>Vendido</t>
        </is>
      </c>
      <c r="D117" s="4" t="inlineStr">
        <is>
          <t>5</t>
        </is>
      </c>
      <c r="E117" s="5" t="inlineStr">
        <is>
          <t>2.000,00</t>
        </is>
      </c>
      <c r="F117" s="4" t="inlineStr">
        <is>
          <t>200.00</t>
        </is>
      </c>
    </row>
    <row collapsed="false" customFormat="false" customHeight="false" hidden="false" ht="12.1" outlineLevel="0" r="118">
      <c r="A118" s="5" t="s">
        <f>=HYPERLINK("https://www.leilaoonline.net/lote/detalhe/299051", "35492")</f>
      </c>
      <c r="B118" s="4" t="s">
        <f>=HYPERLINK("https://www.leilaoonline.net/lote/detalhe/299051", " MOTOR DE COMBATE INCÊNDIO. - (APOIO) LOC. COSTA PINTO")</f>
      </c>
      <c r="C118" s="4" t="inlineStr">
        <is>
          <t>Vendido</t>
        </is>
      </c>
      <c r="D118" s="4" t="inlineStr">
        <is>
          <t>10</t>
        </is>
      </c>
      <c r="E118" s="5" t="inlineStr">
        <is>
          <t>3.250,00</t>
        </is>
      </c>
      <c r="F118" s="4" t="inlineStr">
        <is>
          <t>250.00</t>
        </is>
      </c>
    </row>
    <row collapsed="false" customFormat="false" customHeight="false" hidden="false" ht="12.1" outlineLevel="0" r="119">
      <c r="A119" s="5" t="s">
        <f>=HYPERLINK("https://www.leilaoonline.net/lote/detalhe/299055", "35493")</f>
      </c>
      <c r="B119" s="4" t="s">
        <f>=HYPERLINK("https://www.leilaoonline.net/lote/detalhe/299055", " MOTOR DE COMBATE INCÊNDIO. - (APOIO) LOC. COSTA PINTO")</f>
      </c>
      <c r="C119" s="4" t="inlineStr">
        <is>
          <t>Vendido</t>
        </is>
      </c>
      <c r="D119" s="4" t="inlineStr">
        <is>
          <t>9</t>
        </is>
      </c>
      <c r="E119" s="5" t="inlineStr">
        <is>
          <t>3.000,00</t>
        </is>
      </c>
      <c r="F119" s="4" t="inlineStr">
        <is>
          <t>250.00</t>
        </is>
      </c>
    </row>
    <row collapsed="false" customFormat="false" customHeight="false" hidden="false" ht="12.1" outlineLevel="0" r="120">
      <c r="A120" s="5" t="s">
        <f>=HYPERLINK("https://www.leilaoonline.net/lote/detalhe/299056", "35496")</f>
      </c>
      <c r="B120" s="4" t="s">
        <f>=HYPERLINK("https://www.leilaoonline.net/lote/detalhe/299056", " CARRETA DIS. TORTA SPANDER; ANO 2011. - FR67162. - ( VINHAÇA CONCENTRADA) LOC.COSTA PINTO ")</f>
      </c>
      <c r="C120" s="4" t="inlineStr">
        <is>
          <t>Não vendido</t>
        </is>
      </c>
      <c r="D120" s="4" t="inlineStr">
        <is>
          <t>15</t>
        </is>
      </c>
      <c r="E120" s="5" t="inlineStr">
        <is>
          <t>7.250,00</t>
        </is>
      </c>
      <c r="F120" s="4" t="inlineStr">
        <is>
          <t>500.00</t>
        </is>
      </c>
    </row>
    <row collapsed="false" customFormat="false" customHeight="false" hidden="false" ht="12.1" outlineLevel="0" r="121">
      <c r="A121" s="5" t="s">
        <f>=HYPERLINK("https://www.leilaoonline.net/lote/detalhe/299034", "35497")</f>
      </c>
      <c r="B121" s="4" t="s">
        <f>=HYPERLINK("https://www.leilaoonline.net/lote/detalhe/299034", " CARRETA DIS. TORTA SPANDER; ANO 2015. - FR122413. - ( VINHAÇA CONCENTRADA) LOC.COSTA PINTO ")</f>
      </c>
      <c r="C121" s="4" t="inlineStr">
        <is>
          <t>Vendido</t>
        </is>
      </c>
      <c r="D121" s="4" t="inlineStr">
        <is>
          <t>15</t>
        </is>
      </c>
      <c r="E121" s="5" t="inlineStr">
        <is>
          <t>8.250,00</t>
        </is>
      </c>
      <c r="F121" s="4" t="inlineStr">
        <is>
          <t>500.00</t>
        </is>
      </c>
    </row>
    <row collapsed="false" customFormat="false" customHeight="false" hidden="false" ht="12.1" outlineLevel="0" r="122">
      <c r="A122" s="5" t="s">
        <f>=HYPERLINK("https://www.leilaoonline.net/lote/detalhe/299043", "35498")</f>
      </c>
      <c r="B122" s="4" t="s">
        <f>=HYPERLINK("https://www.leilaoonline.net/lote/detalhe/299043", " TORNO. - (KAIZEN) LOC. COSTA PINTO")</f>
      </c>
      <c r="C122" s="4" t="inlineStr">
        <is>
          <t>Vendido</t>
        </is>
      </c>
      <c r="D122" s="4" t="inlineStr">
        <is>
          <t>28</t>
        </is>
      </c>
      <c r="E122" s="5" t="inlineStr">
        <is>
          <t>24.250,00</t>
        </is>
      </c>
      <c r="F122" s="4" t="inlineStr">
        <is>
          <t>1000.00</t>
        </is>
      </c>
    </row>
    <row collapsed="false" customFormat="false" customHeight="false" hidden="false" ht="12.1" outlineLevel="0" r="123">
      <c r="A123" s="5" t="s">
        <f>=HYPERLINK("https://www.leilaoonline.net/lote/detalhe/299049", "35499")</f>
      </c>
      <c r="B123" s="4" t="s">
        <f>=HYPERLINK("https://www.leilaoonline.net/lote/detalhe/299049", " TANQUE DE FIBRA. - ( KAIZEN) LOC. COSTA PINTO ")</f>
      </c>
      <c r="C123" s="4" t="inlineStr">
        <is>
          <t>Vendido</t>
        </is>
      </c>
      <c r="D123" s="4" t="inlineStr">
        <is>
          <t>10</t>
        </is>
      </c>
      <c r="E123" s="5" t="inlineStr">
        <is>
          <t>3.250,00</t>
        </is>
      </c>
      <c r="F123" s="4" t="inlineStr">
        <is>
          <t>250.00</t>
        </is>
      </c>
    </row>
    <row collapsed="false" customFormat="false" customHeight="false" hidden="false" ht="12.1" outlineLevel="0" r="124">
      <c r="A124" s="5" t="s">
        <f>=HYPERLINK("https://www.leilaoonline.net/lote/detalhe/295311", "35500")</f>
      </c>
      <c r="B124" s="4" t="s">
        <f>=HYPERLINK("https://www.leilaoonline.net/lote/detalhe/295311", "SUCATA DE MOTOR DE CAMINHÃO . - S/N. - (PÁTIO DESINVESTIMENTO) - LOC. UNIVALEM ")</f>
      </c>
      <c r="C124" s="4" t="inlineStr">
        <is>
          <t>Vendido</t>
        </is>
      </c>
      <c r="D124" s="4" t="inlineStr">
        <is>
          <t>18</t>
        </is>
      </c>
      <c r="E124" s="5" t="inlineStr">
        <is>
          <t>8.250,00</t>
        </is>
      </c>
      <c r="F124" s="4" t="inlineStr">
        <is>
          <t>250.00</t>
        </is>
      </c>
    </row>
    <row collapsed="false" customFormat="false" customHeight="false" hidden="false" ht="12.1" outlineLevel="0" r="125">
      <c r="A125" s="5" t="s">
        <f>=HYPERLINK("https://www.leilaoonline.net/lote/detalhe/295312", "35501")</f>
      </c>
      <c r="B125" s="4" t="s">
        <f>=HYPERLINK("https://www.leilaoonline.net/lote/detalhe/295312", "CAMINHÃO MERCEDES BENZ AXOR 3344S 6X4; ANO 2014/2014. - FR119944. - (PÁTIO DESINVESTIMENTO) - LOC. UNIVALEM ")</f>
      </c>
      <c r="C125" s="4" t="inlineStr">
        <is>
          <t>Vendido</t>
        </is>
      </c>
      <c r="D125" s="4" t="inlineStr">
        <is>
          <t>60</t>
        </is>
      </c>
      <c r="E125" s="5" t="inlineStr">
        <is>
          <t>107.000,00</t>
        </is>
      </c>
      <c r="F125" s="4" t="inlineStr">
        <is>
          <t>2000.00</t>
        </is>
      </c>
    </row>
    <row collapsed="false" customFormat="false" customHeight="false" hidden="false" ht="12.1" outlineLevel="0" r="126">
      <c r="A126" s="5" t="s">
        <f>=HYPERLINK("https://www.leilaoonline.net/lote/detalhe/295313", "35502")</f>
      </c>
      <c r="B126" s="4" t="s">
        <f>=HYPERLINK("https://www.leilaoonline.net/lote/detalhe/295313", "PEÇAS DE REPOSIÇÃO AUTOMOTIVA DIVERSAS. - S/N. - (PÁTIO DESINVESTIMENTO) - LOC. UNIVALEM ")</f>
      </c>
      <c r="C126" s="4" t="inlineStr">
        <is>
          <t>Não vendido</t>
        </is>
      </c>
      <c r="D126" s="4" t="inlineStr">
        <is>
          <t>39</t>
        </is>
      </c>
      <c r="E126" s="5" t="inlineStr">
        <is>
          <t>15.250,00</t>
        </is>
      </c>
      <c r="F126" s="4" t="inlineStr">
        <is>
          <t>1000.00</t>
        </is>
      </c>
    </row>
    <row collapsed="false" customFormat="false" customHeight="false" hidden="false" ht="12.1" outlineLevel="0" r="127">
      <c r="A127" s="5" t="s">
        <f>=HYPERLINK("https://www.leilaoonline.net/lote/detalhe/297800", "35503")</f>
      </c>
      <c r="B127" s="4" t="s">
        <f>=HYPERLINK("https://www.leilaoonline.net/lote/detalhe/297800", " GERADOR E BOMBA DE ÁGUA KAWASHIMA SUCATEADO. -S/ID. - (PATIO DESINVESTIMENTO). - LOC. UNIVALEM ")</f>
      </c>
      <c r="C127" s="4" t="inlineStr">
        <is>
          <t>Vendido</t>
        </is>
      </c>
      <c r="D127" s="4" t="inlineStr">
        <is>
          <t>6</t>
        </is>
      </c>
      <c r="E127" s="5" t="inlineStr">
        <is>
          <t>2.250,00</t>
        </is>
      </c>
      <c r="F127" s="4" t="inlineStr">
        <is>
          <t>250.00</t>
        </is>
      </c>
    </row>
    <row collapsed="false" customFormat="false" customHeight="false" hidden="false" ht="12.1" outlineLevel="0" r="128">
      <c r="A128" s="5" t="s">
        <f>=HYPERLINK("https://www.leilaoonline.net/lote/detalhe/295317", "35504")</f>
      </c>
      <c r="B128" s="4" t="s">
        <f>=HYPERLINK("https://www.leilaoonline.net/lote/detalhe/295317", "APROX. 10 RADIADORES SUCATEADOS. - S/N - (PÁTIO DESINVESTIMENTO). - LOC. UNIVALEM ")</f>
      </c>
      <c r="C128" s="4" t="inlineStr">
        <is>
          <t>Vendido</t>
        </is>
      </c>
      <c r="D128" s="4" t="inlineStr">
        <is>
          <t>6</t>
        </is>
      </c>
      <c r="E128" s="5" t="inlineStr">
        <is>
          <t>1.750,00</t>
        </is>
      </c>
      <c r="F128" s="4" t="inlineStr">
        <is>
          <t>250.00</t>
        </is>
      </c>
    </row>
    <row collapsed="false" customFormat="false" customHeight="false" hidden="false" ht="12.1" outlineLevel="0" r="129">
      <c r="A129" s="5" t="s">
        <f>=HYPERLINK("https://www.leilaoonline.net/lote/detalhe/295319", "35505")</f>
      </c>
      <c r="B129" s="4" t="s">
        <f>=HYPERLINK("https://www.leilaoonline.net/lote/detalhe/295319", "APROX. 25 CAMPANAS DE CAMINHÃO SUCATEADOS. - S/N. -( PÁTIO DESINVESTIMENTO). - LOC. UNIVALEM ")</f>
      </c>
      <c r="C129" s="4" t="inlineStr">
        <is>
          <t>Vendido</t>
        </is>
      </c>
      <c r="D129" s="4" t="inlineStr">
        <is>
          <t>14</t>
        </is>
      </c>
      <c r="E129" s="5" t="inlineStr">
        <is>
          <t>4.250,00</t>
        </is>
      </c>
      <c r="F129" s="4" t="inlineStr">
        <is>
          <t>250.00</t>
        </is>
      </c>
    </row>
    <row collapsed="false" customFormat="false" customHeight="false" hidden="false" ht="12.1" outlineLevel="0" r="130">
      <c r="A130" s="5" t="s">
        <f>=HYPERLINK("https://www.leilaoonline.net/lote/detalhe/295302", "35506")</f>
      </c>
      <c r="B130" s="4" t="s">
        <f>=HYPERLINK("https://www.leilaoonline.net/lote/detalhe/295302", "CAMINHÃO VOLKSWAGEN 15.190 WORKER; ANO 2014/2014; BRANCA; (OFICINA). - FR173142/ FR173887. - (PÁTIO DESINVESTIMENTO) LOC. BENALCOOL")</f>
      </c>
      <c r="C130" s="4" t="inlineStr">
        <is>
          <t>Vendido</t>
        </is>
      </c>
      <c r="D130" s="4" t="inlineStr">
        <is>
          <t>82</t>
        </is>
      </c>
      <c r="E130" s="5" t="inlineStr">
        <is>
          <t>112.000,00</t>
        </is>
      </c>
      <c r="F130" s="4" t="inlineStr">
        <is>
          <t>2000.00</t>
        </is>
      </c>
    </row>
    <row collapsed="false" customFormat="false" customHeight="false" hidden="false" ht="12.1" outlineLevel="0" r="131">
      <c r="A131" s="5" t="s">
        <f>=HYPERLINK("https://www.leilaoonline.net/lote/detalhe/295303", "35507")</f>
      </c>
      <c r="B131" s="4" t="s">
        <f>=HYPERLINK("https://www.leilaoonline.net/lote/detalhe/295303", "CAMINHÃO VOLKSWAGEN 15.180 EURO3 WORKER; ANO 2010/2010; BRANCA; (MUNCK). - FR81484/ FR81654. - (PÁTIO DESINVESTIMENTO) - LOC. BENALCOOL ")</f>
      </c>
      <c r="C131" s="4" t="inlineStr">
        <is>
          <t>Vendido</t>
        </is>
      </c>
      <c r="D131" s="4" t="inlineStr">
        <is>
          <t>77</t>
        </is>
      </c>
      <c r="E131" s="5" t="inlineStr">
        <is>
          <t>153.000,00</t>
        </is>
      </c>
      <c r="F131" s="4" t="inlineStr">
        <is>
          <t>2000.00</t>
        </is>
      </c>
    </row>
    <row collapsed="false" customFormat="false" customHeight="false" hidden="false" ht="12.1" outlineLevel="0" r="132">
      <c r="A132" s="5" t="s">
        <f>=HYPERLINK("https://www.leilaoonline.net/lote/detalhe/295322", "35508")</f>
      </c>
      <c r="B132" s="4" t="s">
        <f>=HYPERLINK("https://www.leilaoonline.net/lote/detalhe/295322", "TRATOR CASE MAGNUM 260; ANO 2017. - FR49633. - LOC. BENALCOOL ")</f>
      </c>
      <c r="C132" s="4" t="inlineStr">
        <is>
          <t>Vendido</t>
        </is>
      </c>
      <c r="D132" s="4" t="inlineStr">
        <is>
          <t>9</t>
        </is>
      </c>
      <c r="E132" s="5" t="inlineStr">
        <is>
          <t>100.000,00</t>
        </is>
      </c>
      <c r="F132" s="4" t="inlineStr">
        <is>
          <t>2500.00</t>
        </is>
      </c>
    </row>
    <row collapsed="false" customFormat="false" customHeight="false" hidden="false" ht="12.1" outlineLevel="0" r="133">
      <c r="A133" s="5" t="s">
        <f>=HYPERLINK("https://www.leilaoonline.net/lote/detalhe/295323", "35509")</f>
      </c>
      <c r="B133" s="4" t="s">
        <f>=HYPERLINK("https://www.leilaoonline.net/lote/detalhe/295323", "SUCATA DE MOTO BOMBA SEM MOTOR . - FR81821. -(PÁTIO DESINVESTIMENTO) -  LOC. BENALCOOL ")</f>
      </c>
      <c r="C133" s="4" t="inlineStr">
        <is>
          <t>Não vendido</t>
        </is>
      </c>
      <c r="D133" s="4" t="inlineStr">
        <is>
          <t>2</t>
        </is>
      </c>
      <c r="E133" s="5" t="inlineStr">
        <is>
          <t>2.750,00</t>
        </is>
      </c>
      <c r="F133" s="4" t="inlineStr">
        <is>
          <t>250.00</t>
        </is>
      </c>
    </row>
    <row collapsed="false" customFormat="false" customHeight="false" hidden="false" ht="12.1" outlineLevel="0" r="134">
      <c r="A134" s="5" t="s">
        <f>=HYPERLINK("https://www.leilaoonline.net/lote/detalhe/295304", "35510")</f>
      </c>
      <c r="B134" s="4" t="s">
        <f>=HYPERLINK("https://www.leilaoonline.net/lote/detalhe/295304", "CULTIVADOR DE CANA CARDEROLI; ANO 2014. - FR84686; (PÁTIO DESINVESTIMENTO). - LOC. BENALCOOL ")</f>
      </c>
      <c r="C134" s="4" t="inlineStr">
        <is>
          <t>Não vendido</t>
        </is>
      </c>
      <c r="D134" s="4" t="inlineStr">
        <is>
          <t>3</t>
        </is>
      </c>
      <c r="E134" s="5" t="inlineStr">
        <is>
          <t>1.500,00</t>
        </is>
      </c>
      <c r="F134" s="4" t="inlineStr">
        <is>
          <t>250.00</t>
        </is>
      </c>
    </row>
    <row collapsed="false" customFormat="false" customHeight="false" hidden="false" ht="12.1" outlineLevel="0" r="135">
      <c r="A135" s="5" t="s">
        <f>=HYPERLINK("https://www.leilaoonline.net/lote/detalhe/295300", "35511")</f>
      </c>
      <c r="B135" s="4" t="s">
        <f>=HYPERLINK("https://www.leilaoonline.net/lote/detalhe/295300", "TRATOR DE CORTAR GRAMA TRAPP - MURRAY 13,5 HP. - PAT.309379; ( ADM). - LOC. BENALCOOL ")</f>
      </c>
      <c r="C135" s="4" t="inlineStr">
        <is>
          <t>Vendido</t>
        </is>
      </c>
      <c r="D135" s="4" t="inlineStr">
        <is>
          <t>9</t>
        </is>
      </c>
      <c r="E135" s="5" t="inlineStr">
        <is>
          <t>4.750,00</t>
        </is>
      </c>
      <c r="F135" s="4" t="inlineStr">
        <is>
          <t>250.00</t>
        </is>
      </c>
    </row>
    <row collapsed="false" customFormat="false" customHeight="false" hidden="false" ht="12.1" outlineLevel="0" r="136">
      <c r="A136" s="5" t="s">
        <f>=HYPERLINK("https://www.leilaoonline.net/lote/detalhe/295294", "35512")</f>
      </c>
      <c r="B136" s="4" t="s">
        <f>=HYPERLINK("https://www.leilaoonline.net/lote/detalhe/295294", "SUCATA DE ELETRÔNICOS, CONTENDO: 2 UMIDIFICADORES AR BIOLAND BIVOLT; RAQUETES MATA MOSQUITO E AQUECEDOR BRITANEA 15002 127V - S/ID. - (LABORATÓRIO COTESIA) - LOC. UNIVALEM ")</f>
      </c>
      <c r="C136" s="4" t="inlineStr">
        <is>
          <t>Vendido</t>
        </is>
      </c>
      <c r="D136" s="4" t="inlineStr">
        <is>
          <t>7</t>
        </is>
      </c>
      <c r="E136" s="5" t="inlineStr">
        <is>
          <t>500,00</t>
        </is>
      </c>
      <c r="F136" s="4" t="inlineStr">
        <is>
          <t>50.00</t>
        </is>
      </c>
    </row>
    <row collapsed="false" customFormat="false" customHeight="false" hidden="false" ht="12.1" outlineLevel="0" r="137">
      <c r="A137" s="5" t="s">
        <f>=HYPERLINK("https://www.leilaoonline.net/lote/detalhe/295324", "35513")</f>
      </c>
      <c r="B137" s="4" t="s">
        <f>=HYPERLINK("https://www.leilaoonline.net/lote/detalhe/295324", "SUCATA DE ELETRODOMÉSTICOS, CONTENDO: 3 VENTILADORES, 2 ASPIRADORES DE PÓ E 1 MICROONDAS. - S/N. - (LABORATÓRIO COTESIA) - LOC. UNIVALEM")</f>
      </c>
      <c r="C137" s="4" t="inlineStr">
        <is>
          <t>Vendido</t>
        </is>
      </c>
      <c r="D137" s="4" t="inlineStr">
        <is>
          <t>5</t>
        </is>
      </c>
      <c r="E137" s="5" t="inlineStr">
        <is>
          <t>2.000,00</t>
        </is>
      </c>
      <c r="F137" s="4" t="inlineStr">
        <is>
          <t>250.00</t>
        </is>
      </c>
    </row>
    <row collapsed="false" customFormat="false" customHeight="false" hidden="false" ht="12.1" outlineLevel="0" r="138">
      <c r="A138" s="5" t="s">
        <f>=HYPERLINK("https://www.leilaoonline.net/lote/detalhe/295326", "35515")</f>
      </c>
      <c r="B138" s="4" t="s">
        <f>=HYPERLINK("https://www.leilaoonline.net/lote/detalhe/295326", "160 CAIXAS DE TUBETES PARA LABORATÓRIO DE COTÉSIA. - S/N. - (LABORATÓRIO COTESIA ) - LOC. UNIVALEM ")</f>
      </c>
      <c r="C138" s="4" t="inlineStr">
        <is>
          <t>Vendido</t>
        </is>
      </c>
      <c r="D138" s="4" t="inlineStr">
        <is>
          <t>1</t>
        </is>
      </c>
      <c r="E138" s="5" t="inlineStr">
        <is>
          <t>200,00</t>
        </is>
      </c>
      <c r="F138" s="4" t="inlineStr">
        <is>
          <t>100.00</t>
        </is>
      </c>
    </row>
    <row collapsed="false" customFormat="false" customHeight="false" hidden="false" ht="12.1" outlineLevel="0" r="139">
      <c r="A139" s="5" t="s">
        <f>=HYPERLINK("https://www.leilaoonline.net/lote/detalhe/295327", "35516")</f>
      </c>
      <c r="B139" s="4" t="s">
        <f>=HYPERLINK("https://www.leilaoonline.net/lote/detalhe/295327", "APROX. 26 LATAS DE TINTA NA COR CREME. - S/N. - (LABORATÓRIO COTESIA) - LOC. UNIVALEM ")</f>
      </c>
      <c r="C139" s="4" t="inlineStr">
        <is>
          <t>Vendido</t>
        </is>
      </c>
      <c r="D139" s="4" t="inlineStr">
        <is>
          <t>13</t>
        </is>
      </c>
      <c r="E139" s="5" t="inlineStr">
        <is>
          <t>1.400,00</t>
        </is>
      </c>
      <c r="F139" s="4" t="inlineStr">
        <is>
          <t>100.00</t>
        </is>
      </c>
    </row>
    <row collapsed="false" customFormat="false" customHeight="false" hidden="false" ht="12.1" outlineLevel="0" r="140">
      <c r="A140" s="5" t="s">
        <f>=HYPERLINK("https://www.leilaoonline.net/lote/detalhe/295328", "35517")</f>
      </c>
      <c r="B140" s="4" t="s">
        <f>=HYPERLINK("https://www.leilaoonline.net/lote/detalhe/295328", "ESTUFA PARA ESTERILIZAÇÃO E SECAGEM ODONTOBRAS 220V. - S/N. - (LABORATÓRIO COTESIA) - LOC. UNIVALEM ")</f>
      </c>
      <c r="C140" s="4" t="inlineStr">
        <is>
          <t>Vendido</t>
        </is>
      </c>
      <c r="D140" s="4" t="inlineStr">
        <is>
          <t>2</t>
        </is>
      </c>
      <c r="E140" s="5" t="inlineStr">
        <is>
          <t>350,00</t>
        </is>
      </c>
      <c r="F140" s="4" t="inlineStr">
        <is>
          <t>100.00</t>
        </is>
      </c>
    </row>
    <row collapsed="false" customFormat="false" customHeight="false" hidden="false" ht="12.1" outlineLevel="0" r="141">
      <c r="A141" s="5" t="s">
        <f>=HYPERLINK("https://www.leilaoonline.net/lote/detalhe/295329", "35518")</f>
      </c>
      <c r="B141" s="4" t="s">
        <f>=HYPERLINK("https://www.leilaoonline.net/lote/detalhe/295329", "ESTUFA COM CIRCULAÇÃO E RENOVAÇÃO DE AR TECNAL. - PAT.173365. - (LABORATÓRIO COTESIA)  - LOC. UNIVALEM ")</f>
      </c>
      <c r="C141" s="4" t="inlineStr">
        <is>
          <t>Vendido</t>
        </is>
      </c>
      <c r="D141" s="4" t="inlineStr">
        <is>
          <t>3</t>
        </is>
      </c>
      <c r="E141" s="5" t="inlineStr">
        <is>
          <t>450,00</t>
        </is>
      </c>
      <c r="F141" s="4" t="inlineStr">
        <is>
          <t>100.00</t>
        </is>
      </c>
    </row>
    <row collapsed="false" customFormat="false" customHeight="false" hidden="false" ht="12.1" outlineLevel="0" r="142">
      <c r="A142" s="5" t="s">
        <f>=HYPERLINK("https://www.leilaoonline.net/lote/detalhe/295330", "35519")</f>
      </c>
      <c r="B142" s="4" t="s">
        <f>=HYPERLINK("https://www.leilaoonline.net/lote/detalhe/295330", "ESTUFA COM CIRCULAÇÃO E RENOVAÇÃO DE AR TECNAL. - PAT.173421 - (LABORATÓRIO COTESIA) - LOC. UNIVALEM")</f>
      </c>
      <c r="C142" s="4" t="inlineStr">
        <is>
          <t>Não vendido</t>
        </is>
      </c>
      <c r="D142" s="4" t="inlineStr">
        <is>
          <t>3</t>
        </is>
      </c>
      <c r="E142" s="5" t="inlineStr">
        <is>
          <t>450,00</t>
        </is>
      </c>
      <c r="F142" s="4" t="inlineStr">
        <is>
          <t>100.00</t>
        </is>
      </c>
    </row>
    <row collapsed="false" customFormat="false" customHeight="false" hidden="false" ht="12.1" outlineLevel="0" r="143">
      <c r="A143" s="5" t="s">
        <f>=HYPERLINK("https://www.leilaoonline.net/lote/detalhe/295331", "35520")</f>
      </c>
      <c r="B143" s="4" t="s">
        <f>=HYPERLINK("https://www.leilaoonline.net/lote/detalhe/295331", "01 MIXER. - S/N. - (LABORATÓRIO COTESIA ) - LOC. UNIVALEM ")</f>
      </c>
      <c r="C143" s="4" t="inlineStr">
        <is>
          <t>Vendido</t>
        </is>
      </c>
      <c r="D143" s="4" t="inlineStr">
        <is>
          <t>1</t>
        </is>
      </c>
      <c r="E143" s="5" t="inlineStr">
        <is>
          <t>500,00</t>
        </is>
      </c>
      <c r="F143" s="4" t="inlineStr">
        <is>
          <t>100.00</t>
        </is>
      </c>
    </row>
    <row collapsed="false" customFormat="false" customHeight="false" hidden="false" ht="12.1" outlineLevel="0" r="144">
      <c r="A144" s="5" t="s">
        <f>=HYPERLINK("https://www.leilaoonline.net/lote/detalhe/295390", "35523")</f>
      </c>
      <c r="B144" s="4" t="s">
        <f>=HYPERLINK("https://www.leilaoonline.net/lote/detalhe/295390", "15 PRATELEIRAS E 2 ARMÁRIOS SUCATEADOS. - S/ID. - (LABORATÓRIO COTESIA ) - LOC. UNIVALEM ")</f>
      </c>
      <c r="C144" s="4" t="inlineStr">
        <is>
          <t>Vendido</t>
        </is>
      </c>
      <c r="D144" s="4" t="inlineStr">
        <is>
          <t>10</t>
        </is>
      </c>
      <c r="E144" s="5" t="inlineStr">
        <is>
          <t>1.400,00</t>
        </is>
      </c>
      <c r="F144" s="4" t="inlineStr">
        <is>
          <t>100.00</t>
        </is>
      </c>
    </row>
    <row collapsed="false" customFormat="false" customHeight="false" hidden="false" ht="12.1" outlineLevel="0" r="145">
      <c r="A145" s="5" t="s">
        <f>=HYPERLINK("https://www.leilaoonline.net/lote/detalhe/295392", "35525")</f>
      </c>
      <c r="B145" s="4" t="s">
        <f>=HYPERLINK("https://www.leilaoonline.net/lote/detalhe/295392", "BANDEJAS E CAIXAS PLÁSTICAS . - S/ID. - (LABORATÓRIO COTESIA ) - LOC. UNIVALEM ")</f>
      </c>
      <c r="C145" s="4" t="inlineStr">
        <is>
          <t>Vendido</t>
        </is>
      </c>
      <c r="D145" s="4" t="inlineStr">
        <is>
          <t>6</t>
        </is>
      </c>
      <c r="E145" s="5" t="inlineStr">
        <is>
          <t>1.000,00</t>
        </is>
      </c>
      <c r="F145" s="4" t="inlineStr">
        <is>
          <t>100.00</t>
        </is>
      </c>
    </row>
    <row collapsed="false" customFormat="false" customHeight="false" hidden="false" ht="12.1" outlineLevel="0" r="146">
      <c r="A146" s="5" t="s">
        <f>=HYPERLINK("https://www.leilaoonline.net/lote/detalhe/295394", "35527")</f>
      </c>
      <c r="B146" s="4" t="s">
        <f>=HYPERLINK("https://www.leilaoonline.net/lote/detalhe/295394", "8 MESAS DE MADEIRA SUCATEADAS - APOIOS DE PÉ INCLUSOS. - S/ID. - (LABORATÓRIO COTESIA ) - LOC. UNIVALEM ")</f>
      </c>
      <c r="C146" s="4" t="inlineStr">
        <is>
          <t>Não vendido</t>
        </is>
      </c>
      <c r="D146" s="4" t="inlineStr">
        <is>
          <t>0</t>
        </is>
      </c>
      <c r="E146" s="5" t="inlineStr">
        <is>
          <t>200,00</t>
        </is>
      </c>
      <c r="F146" s="4" t="inlineStr">
        <is>
          <t>50.00</t>
        </is>
      </c>
    </row>
    <row collapsed="false" customFormat="false" customHeight="false" hidden="false" ht="12.1" outlineLevel="0" r="147">
      <c r="A147" s="5" t="s">
        <f>=HYPERLINK("https://www.leilaoonline.net/lote/detalhe/295402", "35535")</f>
      </c>
      <c r="B147" s="4" t="s">
        <f>=HYPERLINK("https://www.leilaoonline.net/lote/detalhe/295402", "01 MIXER. - S/ID. - (LABORATÓRIO COTESIA) - LOC. UNIVALEM ")</f>
      </c>
      <c r="C147" s="4" t="inlineStr">
        <is>
          <t>Vendido</t>
        </is>
      </c>
      <c r="D147" s="4" t="inlineStr">
        <is>
          <t>3</t>
        </is>
      </c>
      <c r="E147" s="5" t="inlineStr">
        <is>
          <t>700,00</t>
        </is>
      </c>
      <c r="F147" s="4" t="inlineStr">
        <is>
          <t>100.00</t>
        </is>
      </c>
    </row>
    <row collapsed="false" customFormat="false" customHeight="false" hidden="false" ht="12.1" outlineLevel="0" r="148">
      <c r="A148" s="5" t="s">
        <f>=HYPERLINK("https://www.leilaoonline.net/lote/detalhe/295403", "35536")</f>
      </c>
      <c r="B148" s="4" t="s">
        <f>=HYPERLINK("https://www.leilaoonline.net/lote/detalhe/295403", "ESTUFA ODONTOBRAZ . - S/ID. - (LABORATÓRIO COTESIA) - LOC. UNIVALEM ")</f>
      </c>
      <c r="C148" s="4" t="inlineStr">
        <is>
          <t>Não vendido</t>
        </is>
      </c>
      <c r="D148" s="4" t="inlineStr">
        <is>
          <t>1</t>
        </is>
      </c>
      <c r="E148" s="5" t="inlineStr">
        <is>
          <t>250,00</t>
        </is>
      </c>
      <c r="F148" s="4" t="inlineStr">
        <is>
          <t>100.00</t>
        </is>
      </c>
    </row>
    <row collapsed="false" customFormat="false" customHeight="false" hidden="false" ht="12.1" outlineLevel="0" r="149">
      <c r="A149" s="5" t="s">
        <f>=HYPERLINK("https://www.leilaoonline.net/lote/detalhe/295423", "35537")</f>
      </c>
      <c r="B149" s="4" t="s">
        <f>=HYPERLINK("https://www.leilaoonline.net/lote/detalhe/295423", "01 UNID. TRATAMENTO TÉRMICO. - PAT.173215. - (LÁBORATORIO COTESIA) - LOC. UNIVALEM ")</f>
      </c>
      <c r="C149" s="4" t="inlineStr">
        <is>
          <t>Não vendido</t>
        </is>
      </c>
      <c r="D149" s="4" t="inlineStr">
        <is>
          <t>0</t>
        </is>
      </c>
      <c r="E149" s="5" t="inlineStr">
        <is>
          <t>1.000,00</t>
        </is>
      </c>
      <c r="F149" s="4" t="inlineStr">
        <is>
          <t>250.00</t>
        </is>
      </c>
    </row>
    <row collapsed="false" customFormat="false" customHeight="false" hidden="false" ht="12.1" outlineLevel="0" r="150">
      <c r="A150" s="5" t="s">
        <f>=HYPERLINK("https://www.leilaoonline.net/lote/detalhe/295425", "35538")</f>
      </c>
      <c r="B150" s="4" t="s">
        <f>=HYPERLINK("https://www.leilaoonline.net/lote/detalhe/295425", "14 CAIXAS D' ÁGUA. - S/ID. - (LABORATÓRIO COTESIA) - LOC. UNIVALEM ")</f>
      </c>
      <c r="C150" s="4" t="inlineStr">
        <is>
          <t>Vendido</t>
        </is>
      </c>
      <c r="D150" s="4" t="inlineStr">
        <is>
          <t>2</t>
        </is>
      </c>
      <c r="E150" s="5" t="inlineStr">
        <is>
          <t>600,00</t>
        </is>
      </c>
      <c r="F150" s="4" t="inlineStr">
        <is>
          <t>100.00</t>
        </is>
      </c>
    </row>
    <row collapsed="false" customFormat="false" customHeight="false" hidden="false" ht="12.1" outlineLevel="0" r="151">
      <c r="A151" s="5" t="s">
        <f>=HYPERLINK("https://www.leilaoonline.net/lote/detalhe/295424", "35539")</f>
      </c>
      <c r="B151" s="4" t="s">
        <f>=HYPERLINK("https://www.leilaoonline.net/lote/detalhe/295424", "CÂMARA FRIA MULT FRIO - PAT.173224. - (LABORATÓRIO COTESIA). - LOC. UNIVALEM")</f>
      </c>
      <c r="C151" s="4" t="inlineStr">
        <is>
          <t>Vendido</t>
        </is>
      </c>
      <c r="D151" s="4" t="inlineStr">
        <is>
          <t>22</t>
        </is>
      </c>
      <c r="E151" s="5" t="inlineStr">
        <is>
          <t>8.750,00</t>
        </is>
      </c>
      <c r="F151" s="4" t="inlineStr">
        <is>
          <t>500.00</t>
        </is>
      </c>
    </row>
    <row collapsed="false" customFormat="false" customHeight="false" hidden="false" ht="12.1" outlineLevel="0" r="152">
      <c r="A152" s="5" t="s">
        <f>=HYPERLINK("https://www.leilaoonline.net/lote/detalhe/295426", "35540")</f>
      </c>
      <c r="B152" s="4" t="s">
        <f>=HYPERLINK("https://www.leilaoonline.net/lote/detalhe/295426", "ESTEIRA DE BAGAÇO EM 4 PARTES. S/PT. - (PATIO PROJETOS) - LOC. UNIVALEM ")</f>
      </c>
      <c r="C152" s="4" t="inlineStr">
        <is>
          <t>Vendido</t>
        </is>
      </c>
      <c r="D152" s="4" t="inlineStr">
        <is>
          <t>15</t>
        </is>
      </c>
      <c r="E152" s="5" t="inlineStr">
        <is>
          <t>6.750,00</t>
        </is>
      </c>
      <c r="F152" s="4" t="inlineStr">
        <is>
          <t>500.00</t>
        </is>
      </c>
    </row>
    <row collapsed="false" customFormat="false" customHeight="false" hidden="false" ht="12.1" outlineLevel="0" r="153">
      <c r="A153" s="5" t="s">
        <f>=HYPERLINK("https://www.leilaoonline.net/lote/detalhe/295427", "35541")</f>
      </c>
      <c r="B153" s="4" t="s">
        <f>=HYPERLINK("https://www.leilaoonline.net/lote/detalhe/295427", "ESTEIRA SUCATEADA. - S/PT. - (PATIO PROJETOS) - LOC. UNIVALEM ")</f>
      </c>
      <c r="C153" s="4" t="inlineStr">
        <is>
          <t>Vendido</t>
        </is>
      </c>
      <c r="D153" s="4" t="inlineStr">
        <is>
          <t>4</t>
        </is>
      </c>
      <c r="E153" s="5" t="inlineStr">
        <is>
          <t>2.250,00</t>
        </is>
      </c>
      <c r="F153" s="4" t="inlineStr">
        <is>
          <t>250.00</t>
        </is>
      </c>
    </row>
    <row collapsed="false" customFormat="false" customHeight="false" hidden="false" ht="12.1" outlineLevel="0" r="154">
      <c r="A154" s="5" t="s">
        <f>=HYPERLINK("https://www.leilaoonline.net/lote/detalhe/295286", "35542")</f>
      </c>
      <c r="B154" s="4" t="s">
        <f>=HYPERLINK("https://www.leilaoonline.net/lote/detalhe/295286", "REBOQUE FACCHINI; ANO 1992/1992; AZUL. - FR96175. -( PÁTIO BORRACHARIA) - LOC. GASA")</f>
      </c>
      <c r="C154" s="4" t="inlineStr">
        <is>
          <t>Vendido</t>
        </is>
      </c>
      <c r="D154" s="4" t="inlineStr">
        <is>
          <t>7</t>
        </is>
      </c>
      <c r="E154" s="5" t="inlineStr">
        <is>
          <t>16.000,00</t>
        </is>
      </c>
      <c r="F154" s="4" t="inlineStr">
        <is>
          <t>1000.00</t>
        </is>
      </c>
    </row>
    <row collapsed="false" customFormat="false" customHeight="false" hidden="false" ht="12.1" outlineLevel="0" r="155">
      <c r="A155" s="5" t="s">
        <f>=HYPERLINK("https://www.leilaoonline.net/lote/detalhe/295287", "35543")</f>
      </c>
      <c r="B155" s="4" t="s">
        <f>=HYPERLINK("https://www.leilaoonline.net/lote/detalhe/295287", "REBOQUE ANTONINI - ANO 1997/1997 - AZUL. - FR96156. - (CARRETA TRANSP. TUBOS VIN) - (PÁTIO BORRACHARIA) - LOC. GASA")</f>
      </c>
      <c r="C155" s="4" t="inlineStr">
        <is>
          <t>Vendido</t>
        </is>
      </c>
      <c r="D155" s="4" t="inlineStr">
        <is>
          <t>7</t>
        </is>
      </c>
      <c r="E155" s="5" t="inlineStr">
        <is>
          <t>16.000,00</t>
        </is>
      </c>
      <c r="F155" s="4" t="inlineStr">
        <is>
          <t>1000.00</t>
        </is>
      </c>
    </row>
    <row collapsed="false" customFormat="false" customHeight="false" hidden="false" ht="12.1" outlineLevel="0" r="156">
      <c r="A156" s="5" t="s">
        <f>=HYPERLINK("https://www.leilaoonline.net/lote/detalhe/295293", "35544")</f>
      </c>
      <c r="B156" s="4" t="s">
        <f>=HYPERLINK("https://www.leilaoonline.net/lote/detalhe/295293", "APROX. 100 RODAS SUCATEADAS DE DIVERSOS TAMANHOS. - S/ID. - (PÁTIO CCT) - LOC. GASA")</f>
      </c>
      <c r="C156" s="4" t="inlineStr">
        <is>
          <t>Vendido</t>
        </is>
      </c>
      <c r="D156" s="4" t="inlineStr">
        <is>
          <t>4</t>
        </is>
      </c>
      <c r="E156" s="5" t="inlineStr">
        <is>
          <t>7.000,00</t>
        </is>
      </c>
      <c r="F156" s="4" t="inlineStr">
        <is>
          <t>500.00</t>
        </is>
      </c>
    </row>
    <row collapsed="false" customFormat="false" customHeight="false" hidden="false" ht="12.1" outlineLevel="0" r="157">
      <c r="A157" s="5" t="s">
        <f>=HYPERLINK("https://www.leilaoonline.net/lote/detalhe/295305", "35545")</f>
      </c>
      <c r="B157" s="4" t="s">
        <f>=HYPERLINK("https://www.leilaoonline.net/lote/detalhe/295305", "ENXADA ROTATIVA TL CH3470D T48L ; ANO 2014. - FR88463. - (PÁTIO DESINVESTIMENTO). - LOC. GASA")</f>
      </c>
      <c r="C157" s="4" t="inlineStr">
        <is>
          <t>Não vendido</t>
        </is>
      </c>
      <c r="D157" s="4" t="inlineStr">
        <is>
          <t>0</t>
        </is>
      </c>
      <c r="E157" s="5" t="inlineStr">
        <is>
          <t>2.500,00</t>
        </is>
      </c>
      <c r="F157" s="4" t="inlineStr">
        <is>
          <t>500.00</t>
        </is>
      </c>
    </row>
    <row collapsed="false" customFormat="false" customHeight="false" hidden="false" ht="12.1" outlineLevel="0" r="158">
      <c r="A158" s="5" t="s">
        <f>=HYPERLINK("https://www.leilaoonline.net/lote/detalhe/295307", "35546")</f>
      </c>
      <c r="B158" s="4" t="s">
        <f>=HYPERLINK("https://www.leilaoonline.net/lote/detalhe/295307", "ENXADA ROTATIVA TL CH3470D T48L ; ANO 2014. - FR88464. - (PÁTIO DESINVESTIMENTO). - LOC. GASA")</f>
      </c>
      <c r="C158" s="4" t="inlineStr">
        <is>
          <t>Não vendido</t>
        </is>
      </c>
      <c r="D158" s="4" t="inlineStr">
        <is>
          <t>1</t>
        </is>
      </c>
      <c r="E158" s="5" t="inlineStr">
        <is>
          <t>2.500,00</t>
        </is>
      </c>
      <c r="F158" s="4" t="inlineStr">
        <is>
          <t>500.00</t>
        </is>
      </c>
    </row>
    <row collapsed="false" customFormat="false" customHeight="false" hidden="false" ht="12.1" outlineLevel="0" r="159">
      <c r="A159" s="5" t="s">
        <f>=HYPERLINK("https://www.leilaoonline.net/lote/detalhe/295315", "35547")</f>
      </c>
      <c r="B159" s="4" t="s">
        <f>=HYPERLINK("https://www.leilaoonline.net/lote/detalhe/295315", "SULCADOR CARDEROLI; ANO 2006. -FR86938. - (PATIO DESINVESTIMENTO) - LOC. GASA")</f>
      </c>
      <c r="C159" s="4" t="inlineStr">
        <is>
          <t>Vendido</t>
        </is>
      </c>
      <c r="D159" s="4" t="inlineStr">
        <is>
          <t>3</t>
        </is>
      </c>
      <c r="E159" s="5" t="inlineStr">
        <is>
          <t>1.500,00</t>
        </is>
      </c>
      <c r="F159" s="4" t="inlineStr">
        <is>
          <t>250.00</t>
        </is>
      </c>
    </row>
    <row collapsed="false" customFormat="false" customHeight="false" hidden="false" ht="12.1" outlineLevel="0" r="160">
      <c r="A160" s="5" t="s">
        <f>=HYPERLINK("https://www.leilaoonline.net/lote/detalhe/295316", "35548")</f>
      </c>
      <c r="B160" s="4" t="s">
        <f>=HYPERLINK("https://www.leilaoonline.net/lote/detalhe/295316", "SULCADOR CARDEROLI; ANO 2003. - FR86963. -(PÁTIO DESINVESTIMENTO) - LOC. GASA")</f>
      </c>
      <c r="C160" s="4" t="inlineStr">
        <is>
          <t>Não vendido</t>
        </is>
      </c>
      <c r="D160" s="4" t="inlineStr">
        <is>
          <t>3</t>
        </is>
      </c>
      <c r="E160" s="5" t="inlineStr">
        <is>
          <t>1.500,00</t>
        </is>
      </c>
      <c r="F160" s="4" t="inlineStr">
        <is>
          <t>250.00</t>
        </is>
      </c>
    </row>
    <row collapsed="false" customFormat="false" customHeight="false" hidden="false" ht="12.1" outlineLevel="0" r="161">
      <c r="A161" s="5" t="s">
        <f>=HYPERLINK("https://www.leilaoonline.net/lote/detalhe/295318", "35549")</f>
      </c>
      <c r="B161" s="4" t="s">
        <f>=HYPERLINK("https://www.leilaoonline.net/lote/detalhe/295318", "ADUBADOR 5PC CARDEROLI 2804197810; ANO 2015. - FR188309. - (PÁTIO DESINVESTIMENTO) - LOC. GASA")</f>
      </c>
      <c r="C161" s="4" t="inlineStr">
        <is>
          <t>Vendido</t>
        </is>
      </c>
      <c r="D161" s="4" t="inlineStr">
        <is>
          <t>2</t>
        </is>
      </c>
      <c r="E161" s="5" t="inlineStr">
        <is>
          <t>1.250,00</t>
        </is>
      </c>
      <c r="F161" s="4" t="inlineStr">
        <is>
          <t>250.00</t>
        </is>
      </c>
    </row>
    <row collapsed="false" customFormat="false" customHeight="false" hidden="false" ht="12.1" outlineLevel="0" r="162">
      <c r="A162" s="5" t="s">
        <f>=HYPERLINK("https://www.leilaoonline.net/lote/detalhe/295320", "35550")</f>
      </c>
      <c r="B162" s="4" t="s">
        <f>=HYPERLINK("https://www.leilaoonline.net/lote/detalhe/295320", "DESENLEIRADOR DE PALHA - ANO 2015. - FR188304 - (PÁTIO DESINVESTIMENTO) - LOC. GASA")</f>
      </c>
      <c r="C162" s="4" t="inlineStr">
        <is>
          <t>Vendido</t>
        </is>
      </c>
      <c r="D162" s="4" t="inlineStr">
        <is>
          <t>1</t>
        </is>
      </c>
      <c r="E162" s="5" t="inlineStr">
        <is>
          <t>1.000,00</t>
        </is>
      </c>
      <c r="F162" s="4" t="inlineStr">
        <is>
          <t>250.00</t>
        </is>
      </c>
    </row>
    <row collapsed="false" customFormat="false" customHeight="false" hidden="false" ht="12.1" outlineLevel="0" r="163">
      <c r="A163" s="5" t="s">
        <f>=HYPERLINK("https://www.leilaoonline.net/lote/detalhe/295404", "35551")</f>
      </c>
      <c r="B163" s="4" t="s">
        <f>=HYPERLINK("https://www.leilaoonline.net/lote/detalhe/295404", "DESENLEIRADOR DE PALHA - ANO 2014. - FR88928. - (PÁTIO DESINVESTIMENTO) - LOC. GASA")</f>
      </c>
      <c r="C163" s="4" t="inlineStr">
        <is>
          <t>Vendido</t>
        </is>
      </c>
      <c r="D163" s="4" t="inlineStr">
        <is>
          <t>1</t>
        </is>
      </c>
      <c r="E163" s="5" t="inlineStr">
        <is>
          <t>1.000,00</t>
        </is>
      </c>
      <c r="F163" s="4" t="inlineStr">
        <is>
          <t>250.00</t>
        </is>
      </c>
    </row>
    <row collapsed="false" customFormat="false" customHeight="false" hidden="false" ht="12.1" outlineLevel="0" r="164">
      <c r="A164" s="5" t="s">
        <f>=HYPERLINK("https://www.leilaoonline.net/lote/detalhe/295431", "35552")</f>
      </c>
      <c r="B164" s="4" t="s">
        <f>=HYPERLINK("https://www.leilaoonline.net/lote/detalhe/295431", "DESENLEIRADOR DE PALHA - ANO 2015. - FR188302. -(PÁTIO DESINVESTIMENTO) - LOC. GASA")</f>
      </c>
      <c r="C164" s="4" t="inlineStr">
        <is>
          <t>Vendido</t>
        </is>
      </c>
      <c r="D164" s="4" t="inlineStr">
        <is>
          <t>2</t>
        </is>
      </c>
      <c r="E164" s="5" t="inlineStr">
        <is>
          <t>1.250,00</t>
        </is>
      </c>
      <c r="F164" s="4" t="inlineStr">
        <is>
          <t>250.00</t>
        </is>
      </c>
    </row>
    <row collapsed="false" customFormat="false" customHeight="false" hidden="false" ht="12.1" outlineLevel="0" r="165">
      <c r="A165" s="5" t="s">
        <f>=HYPERLINK("https://www.leilaoonline.net/lote/detalhe/295432", "35553")</f>
      </c>
      <c r="B165" s="4" t="s">
        <f>=HYPERLINK("https://www.leilaoonline.net/lote/detalhe/295432", "DESENLEIRADOR DE PALHA; ANO 2015. - FR188301. - (PÁTIO DESINVESTIMENTO) - LOC. GASA")</f>
      </c>
      <c r="C165" s="4" t="inlineStr">
        <is>
          <t>Vendido</t>
        </is>
      </c>
      <c r="D165" s="4" t="inlineStr">
        <is>
          <t>2</t>
        </is>
      </c>
      <c r="E165" s="5" t="inlineStr">
        <is>
          <t>1.250,00</t>
        </is>
      </c>
      <c r="F165" s="4" t="inlineStr">
        <is>
          <t>250.00</t>
        </is>
      </c>
    </row>
    <row collapsed="false" customFormat="false" customHeight="false" hidden="false" ht="12.1" outlineLevel="0" r="166">
      <c r="A166" s="5" t="s">
        <f>=HYPERLINK("https://www.leilaoonline.net/lote/detalhe/295433", "35554")</f>
      </c>
      <c r="B166" s="4" t="s">
        <f>=HYPERLINK("https://www.leilaoonline.net/lote/detalhe/295433", "ADUBADOR 5PC CARDEROLI 2804197810; ANO 2015. - FR188308. -(PÁTIO DESINVESTIMENTO) - LOC. GASA")</f>
      </c>
      <c r="C166" s="4" t="inlineStr">
        <is>
          <t>Vendido</t>
        </is>
      </c>
      <c r="D166" s="4" t="inlineStr">
        <is>
          <t>3</t>
        </is>
      </c>
      <c r="E166" s="5" t="inlineStr">
        <is>
          <t>1.500,00</t>
        </is>
      </c>
      <c r="F166" s="4" t="inlineStr">
        <is>
          <t>250.00</t>
        </is>
      </c>
    </row>
    <row collapsed="false" customFormat="false" customHeight="false" hidden="false" ht="12.1" outlineLevel="0" r="167">
      <c r="A167" s="5" t="s">
        <f>=HYPERLINK("https://www.leilaoonline.net/lote/detalhe/295309", "35557")</f>
      </c>
      <c r="B167" s="4" t="s">
        <f>=HYPERLINK("https://www.leilaoonline.net/lote/detalhe/295309", "TRATOR JOHN DEERE 7225 J; ANO 2016. - FR115712; (PÁTIO DESINVESTIMENTO). - LOC. GASA ")</f>
      </c>
      <c r="C167" s="4" t="inlineStr">
        <is>
          <t>Vendido</t>
        </is>
      </c>
      <c r="D167" s="4" t="inlineStr">
        <is>
          <t>67</t>
        </is>
      </c>
      <c r="E167" s="5" t="inlineStr">
        <is>
          <t>96.000,00</t>
        </is>
      </c>
      <c r="F167" s="4" t="inlineStr">
        <is>
          <t>1000.00</t>
        </is>
      </c>
    </row>
    <row collapsed="false" customFormat="false" customHeight="false" hidden="false" ht="12.1" outlineLevel="0" r="168">
      <c r="A168" s="5" t="s">
        <f>=HYPERLINK("https://www.leilaoonline.net/lote/detalhe/295428", "35558")</f>
      </c>
      <c r="B168" s="4" t="s">
        <f>=HYPERLINK("https://www.leilaoonline.net/lote/detalhe/295428", "REBOQUE SERGOMEL RSCPI 4E; ANO 2014/2014; CINZA. - FR88696. -( PÁTIO PLANTIO) - LOC. GASA ")</f>
      </c>
      <c r="C168" s="4" t="inlineStr">
        <is>
          <t>Vendido</t>
        </is>
      </c>
      <c r="D168" s="4" t="inlineStr">
        <is>
          <t>133</t>
        </is>
      </c>
      <c r="E168" s="5" t="inlineStr">
        <is>
          <t>181.000,00</t>
        </is>
      </c>
      <c r="F168" s="4" t="inlineStr">
        <is>
          <t>2000.00</t>
        </is>
      </c>
    </row>
    <row collapsed="false" customFormat="false" customHeight="false" hidden="false" ht="12.1" outlineLevel="0" r="169">
      <c r="A169" s="5" t="s">
        <f>=HYPERLINK("https://www.leilaoonline.net/lote/detalhe/295429", "35559")</f>
      </c>
      <c r="B169" s="4" t="s">
        <f>=HYPERLINK("https://www.leilaoonline.net/lote/detalhe/295429", "PLANTADORA C/ ADUB. 0,90 DMB PCP6000; ANO 2014. - FR91554. - (PÁTIO PLANTIO) - LOC. GASA ")</f>
      </c>
      <c r="C169" s="4" t="inlineStr">
        <is>
          <t>Não vendido</t>
        </is>
      </c>
      <c r="D169" s="4" t="inlineStr">
        <is>
          <t>0</t>
        </is>
      </c>
      <c r="E169" s="5" t="inlineStr">
        <is>
          <t>10.000,00</t>
        </is>
      </c>
      <c r="F169" s="4" t="inlineStr">
        <is>
          <t>500.00</t>
        </is>
      </c>
    </row>
    <row collapsed="false" customFormat="false" customHeight="false" hidden="false" ht="12.1" outlineLevel="0" r="170">
      <c r="A170" s="5" t="s">
        <f>=HYPERLINK("https://www.leilaoonline.net/lote/detalhe/295610", "35561")</f>
      </c>
      <c r="B170" s="4" t="s">
        <f>=HYPERLINK("https://www.leilaoonline.net/lote/detalhe/295610", "TANQUE DE AÇO CARBONO SUCATEADO. - S/N. - (PÁTIO CALDEIRARIA) -  LOC. MUNDIAL ")</f>
      </c>
      <c r="C170" s="4" t="inlineStr">
        <is>
          <t>Vendido</t>
        </is>
      </c>
      <c r="D170" s="4" t="inlineStr">
        <is>
          <t>1</t>
        </is>
      </c>
      <c r="E170" s="5" t="inlineStr">
        <is>
          <t>1.000,00</t>
        </is>
      </c>
      <c r="F170" s="4" t="inlineStr">
        <is>
          <t>250.00</t>
        </is>
      </c>
    </row>
    <row collapsed="false" customFormat="false" customHeight="false" hidden="false" ht="12.1" outlineLevel="0" r="171">
      <c r="A171" s="5" t="s">
        <f>=HYPERLINK("https://www.leilaoonline.net/lote/detalhe/295815", "35562")</f>
      </c>
      <c r="B171" s="4" t="s">
        <f>=HYPERLINK("https://www.leilaoonline.net/lote/detalhe/295815", "APROX. 30 PLACAS DE TROCADOR DE CALOR INOX SUCATEADAS - LOC. GASA ")</f>
      </c>
      <c r="C171" s="4" t="inlineStr">
        <is>
          <t>Vendido</t>
        </is>
      </c>
      <c r="D171" s="4" t="inlineStr">
        <is>
          <t>4</t>
        </is>
      </c>
      <c r="E171" s="5" t="inlineStr">
        <is>
          <t>2.750,00</t>
        </is>
      </c>
      <c r="F171" s="4" t="inlineStr">
        <is>
          <t>250.00</t>
        </is>
      </c>
    </row>
    <row collapsed="false" customFormat="false" customHeight="false" hidden="false" ht="12.1" outlineLevel="0" r="172">
      <c r="A172" s="5" t="s">
        <f>=HYPERLINK("https://www.leilaoonline.net/lote/detalhe/295868", "35563")</f>
      </c>
      <c r="B172" s="4" t="s">
        <f>=HYPERLINK("https://www.leilaoonline.net/lote/detalhe/295868", "PENEIRA ROTATIVA INOX - APROX. 10 TON. - (PRÓXIMO AO CARREGAMENTO DE TORTA DE FILTRO) - LOC. GASA ")</f>
      </c>
      <c r="C172" s="4" t="inlineStr">
        <is>
          <t>Vendido</t>
        </is>
      </c>
      <c r="D172" s="4" t="inlineStr">
        <is>
          <t>5</t>
        </is>
      </c>
      <c r="E172" s="5" t="inlineStr">
        <is>
          <t>14.000,00</t>
        </is>
      </c>
      <c r="F172" s="4" t="inlineStr">
        <is>
          <t>1000.00</t>
        </is>
      </c>
    </row>
    <row collapsed="false" customFormat="false" customHeight="false" hidden="false" ht="12.1" outlineLevel="0" r="173">
      <c r="A173" s="5" t="s">
        <f>=HYPERLINK("https://www.leilaoonline.net/lote/detalhe/297804", "35582")</f>
      </c>
      <c r="B173" s="4" t="s">
        <f>=HYPERLINK("https://www.leilaoonline.net/lote/detalhe/297804", " VEJA VÍDEO!! CAMINHÃO VOLKSWAGEN 26.220 EURO3 WORKER; ANO 2011/2012; BRANCA. - FR112238. - (PÁTIO OFICINA- PRÓX. ALMOXARIFADO). - LOC. GASA ")</f>
      </c>
      <c r="C173" s="4" t="inlineStr">
        <is>
          <t>Vendido</t>
        </is>
      </c>
      <c r="D173" s="4" t="inlineStr">
        <is>
          <t>125</t>
        </is>
      </c>
      <c r="E173" s="5" t="inlineStr">
        <is>
          <t>183.000,00</t>
        </is>
      </c>
      <c r="F173" s="4" t="inlineStr">
        <is>
          <t>2000.00</t>
        </is>
      </c>
    </row>
    <row collapsed="false" customFormat="false" customHeight="false" hidden="false" ht="12.1" outlineLevel="0" r="174">
      <c r="A174" s="5" t="s">
        <f>=HYPERLINK("https://www.leilaoonline.net/lote/detalhe/297821", "35583")</f>
      </c>
      <c r="B174" s="4" t="s">
        <f>=HYPERLINK("https://www.leilaoonline.net/lote/detalhe/297821", " COLHEDORA  JOHN DEERE 3522; ANO 2015. - FR188010. -(PÁTIO DESINVESTIMENTO). -  LOC. GASA ")</f>
      </c>
      <c r="C174" s="4" t="inlineStr">
        <is>
          <t>Não vendido</t>
        </is>
      </c>
      <c r="D174" s="4" t="inlineStr">
        <is>
          <t>17</t>
        </is>
      </c>
      <c r="E174" s="5" t="inlineStr">
        <is>
          <t>36.000,00</t>
        </is>
      </c>
      <c r="F174" s="4" t="inlineStr">
        <is>
          <t>1000.00</t>
        </is>
      </c>
    </row>
    <row collapsed="false" customFormat="false" customHeight="false" hidden="false" ht="12.1" outlineLevel="0" r="175">
      <c r="A175" s="5" t="s">
        <f>=HYPERLINK("https://www.leilaoonline.net/lote/detalhe/297809", "35584")</f>
      </c>
      <c r="B175" s="4" t="s">
        <f>=HYPERLINK("https://www.leilaoonline.net/lote/detalhe/297809", " TRANSBORDO ATA 12000; ANO 2015. - FR188701. -(PATIO CCT). - LOC. GASA ")</f>
      </c>
      <c r="C175" s="4" t="inlineStr">
        <is>
          <t>Não vendido</t>
        </is>
      </c>
      <c r="D175" s="4" t="inlineStr">
        <is>
          <t>0</t>
        </is>
      </c>
      <c r="E175" s="5" t="inlineStr">
        <is>
          <t>10.000,00</t>
        </is>
      </c>
      <c r="F175" s="4" t="inlineStr">
        <is>
          <t>1000.00</t>
        </is>
      </c>
    </row>
    <row collapsed="false" customFormat="false" customHeight="false" hidden="false" ht="12.1" outlineLevel="0" r="176">
      <c r="A176" s="5" t="s">
        <f>=HYPERLINK("https://www.leilaoonline.net/lote/detalhe/297802", "35585")</f>
      </c>
      <c r="B176" s="4" t="s">
        <f>=HYPERLINK("https://www.leilaoonline.net/lote/detalhe/297802", " TRANSBORDO ATA 12000; ANO 2015. - FR188705. -(PATIO CCT). - LOC. GASA ")</f>
      </c>
      <c r="C176" s="4" t="inlineStr">
        <is>
          <t>Vendido</t>
        </is>
      </c>
      <c r="D176" s="4" t="inlineStr">
        <is>
          <t>5</t>
        </is>
      </c>
      <c r="E176" s="5" t="inlineStr">
        <is>
          <t>14.000,00</t>
        </is>
      </c>
      <c r="F176" s="4" t="inlineStr">
        <is>
          <t>1000.00</t>
        </is>
      </c>
    </row>
    <row collapsed="false" customFormat="false" customHeight="false" hidden="false" ht="12.1" outlineLevel="0" r="177">
      <c r="A177" s="5" t="s">
        <f>=HYPERLINK("https://www.leilaoonline.net/lote/detalhe/297808", "35589")</f>
      </c>
      <c r="B177" s="4" t="s">
        <f>=HYPERLINK("https://www.leilaoonline.net/lote/detalhe/297808", " CAMINHÃO VOLKSWAGEN/26.280 CRM 6X4; ANO 2012/2013; BRANCA ;(BOMBEIRO). - FR88166. - (PATIO DESINVESTIMENTO). - LOC. GASA ")</f>
      </c>
      <c r="C177" s="4" t="inlineStr">
        <is>
          <t>Não vendido</t>
        </is>
      </c>
      <c r="D177" s="4" t="inlineStr">
        <is>
          <t>60</t>
        </is>
      </c>
      <c r="E177" s="5" t="inlineStr">
        <is>
          <t>126.000,00</t>
        </is>
      </c>
      <c r="F177" s="4" t="inlineStr">
        <is>
          <t>2000.00</t>
        </is>
      </c>
    </row>
    <row collapsed="false" customFormat="false" customHeight="false" hidden="false" ht="12.1" outlineLevel="0" r="178">
      <c r="A178" s="5" t="s">
        <f>=HYPERLINK("https://www.leilaoonline.net/lote/detalhe/297811", "35591")</f>
      </c>
      <c r="B178" s="4" t="s">
        <f>=HYPERLINK("https://www.leilaoonline.net/lote/detalhe/297811", " TRATOR JOHN DEERE 7225J; ANO 2016. - FR93350. - (PATIO CCT). - LOC. GASA ")</f>
      </c>
      <c r="C178" s="4" t="inlineStr">
        <is>
          <t>Vendido</t>
        </is>
      </c>
      <c r="D178" s="4" t="inlineStr">
        <is>
          <t>59</t>
        </is>
      </c>
      <c r="E178" s="5" t="inlineStr">
        <is>
          <t>89.000,00</t>
        </is>
      </c>
      <c r="F178" s="4" t="inlineStr">
        <is>
          <t>1000.00</t>
        </is>
      </c>
    </row>
    <row collapsed="false" customFormat="false" customHeight="false" hidden="false" ht="12.1" outlineLevel="0" r="179">
      <c r="A179" s="5" t="s">
        <f>=HYPERLINK("https://www.leilaoonline.net/lote/detalhe/297812", "35592")</f>
      </c>
      <c r="B179" s="4" t="s">
        <f>=HYPERLINK("https://www.leilaoonline.net/lote/detalhe/297812", " TRATOR JOHN DEERE 7225J; ANO 2016. - FR115699. -(PATIO CCT). - LOC. GASA ")</f>
      </c>
      <c r="C179" s="4" t="inlineStr">
        <is>
          <t>Vendido</t>
        </is>
      </c>
      <c r="D179" s="4" t="inlineStr">
        <is>
          <t>63</t>
        </is>
      </c>
      <c r="E179" s="5" t="inlineStr">
        <is>
          <t>95.000,00</t>
        </is>
      </c>
      <c r="F179" s="4" t="inlineStr">
        <is>
          <t>1000.00</t>
        </is>
      </c>
    </row>
    <row collapsed="false" customFormat="false" customHeight="false" hidden="false" ht="12.1" outlineLevel="0" r="180">
      <c r="A180" s="5" t="s">
        <f>=HYPERLINK("https://www.leilaoonline.net/lote/detalhe/297814", "35593")</f>
      </c>
      <c r="B180" s="4" t="s">
        <f>=HYPERLINK("https://www.leilaoonline.net/lote/detalhe/297814", " TRATOR JOHN DEERE 7225J; ANO 2016. - FR93355. - (PATIO CCT). -LOC. GASA ")</f>
      </c>
      <c r="C180" s="4" t="inlineStr">
        <is>
          <t>Vendido</t>
        </is>
      </c>
      <c r="D180" s="4" t="inlineStr">
        <is>
          <t>57</t>
        </is>
      </c>
      <c r="E180" s="5" t="inlineStr">
        <is>
          <t>90.000,00</t>
        </is>
      </c>
      <c r="F180" s="4" t="inlineStr">
        <is>
          <t>1000.00</t>
        </is>
      </c>
    </row>
    <row collapsed="false" customFormat="false" customHeight="false" hidden="false" ht="12.1" outlineLevel="0" r="181">
      <c r="A181" s="5" t="s">
        <f>=HYPERLINK("https://www.leilaoonline.net/lote/detalhe/297806", "35594")</f>
      </c>
      <c r="B181" s="4" t="s">
        <f>=HYPERLINK("https://www.leilaoonline.net/lote/detalhe/297806", " COLHEDORA JOHN DEERE 3522; ANO 2015. - FR188007. -(PATIO CCT). - LOC. GASA ")</f>
      </c>
      <c r="C181" s="4" t="inlineStr">
        <is>
          <t>Não vendido</t>
        </is>
      </c>
      <c r="D181" s="4" t="inlineStr">
        <is>
          <t>50</t>
        </is>
      </c>
      <c r="E181" s="5" t="inlineStr">
        <is>
          <t>62.500,00</t>
        </is>
      </c>
      <c r="F181" s="4" t="inlineStr">
        <is>
          <t>1000.00</t>
        </is>
      </c>
    </row>
    <row collapsed="false" customFormat="false" customHeight="false" hidden="false" ht="12.1" outlineLevel="0" r="182">
      <c r="A182" s="5" t="s">
        <f>=HYPERLINK("https://www.leilaoonline.net/lote/detalhe/297813", "35595")</f>
      </c>
      <c r="B182" s="4" t="s">
        <f>=HYPERLINK("https://www.leilaoonline.net/lote/detalhe/297813", " COLHEDORA JOHN DEERE; ANO 2017. - FR188053. -(PATIO CCT). - LOC. GASA ")</f>
      </c>
      <c r="C182" s="4" t="inlineStr">
        <is>
          <t>Vendido</t>
        </is>
      </c>
      <c r="D182" s="4" t="inlineStr">
        <is>
          <t>63</t>
        </is>
      </c>
      <c r="E182" s="5" t="inlineStr">
        <is>
          <t>77.500,00</t>
        </is>
      </c>
      <c r="F182" s="4" t="inlineStr">
        <is>
          <t>1000.00</t>
        </is>
      </c>
    </row>
    <row collapsed="false" customFormat="false" customHeight="false" hidden="false" ht="12.1" outlineLevel="0" r="183">
      <c r="A183" s="5" t="s">
        <f>=HYPERLINK("https://www.leilaoonline.net/lote/detalhe/297815", "35596")</f>
      </c>
      <c r="B183" s="4" t="s">
        <f>=HYPERLINK("https://www.leilaoonline.net/lote/detalhe/297815", " TRATOR JOHN DEERE 7230J; ANO 2017. - FR188976. -(PATIO CCT). - LOC. GASA")</f>
      </c>
      <c r="C183" s="4" t="inlineStr">
        <is>
          <t>Vendido</t>
        </is>
      </c>
      <c r="D183" s="4" t="inlineStr">
        <is>
          <t>16</t>
        </is>
      </c>
      <c r="E183" s="5" t="inlineStr">
        <is>
          <t>40.000,00</t>
        </is>
      </c>
      <c r="F183" s="4" t="inlineStr">
        <is>
          <t>1000.00</t>
        </is>
      </c>
    </row>
    <row collapsed="false" customFormat="false" customHeight="false" hidden="false" ht="12.1" outlineLevel="0" r="184">
      <c r="A184" s="5" t="s">
        <f>=HYPERLINK("https://www.leilaoonline.net/lote/detalhe/297805", "35597")</f>
      </c>
      <c r="B184" s="4" t="s">
        <f>=HYPERLINK("https://www.leilaoonline.net/lote/detalhe/297805", " TRATOR JOHN DEERE 7230J; ANO 2017. - FR188971. -(PATIO CCT). - LOC. GASA")</f>
      </c>
      <c r="C184" s="4" t="inlineStr">
        <is>
          <t>Vendido</t>
        </is>
      </c>
      <c r="D184" s="4" t="inlineStr">
        <is>
          <t>25</t>
        </is>
      </c>
      <c r="E184" s="5" t="inlineStr">
        <is>
          <t>20.500,00</t>
        </is>
      </c>
      <c r="F184" s="4" t="inlineStr">
        <is>
          <t>1000.00</t>
        </is>
      </c>
    </row>
    <row collapsed="false" customFormat="false" customHeight="false" hidden="false" ht="12.1" outlineLevel="0" r="185">
      <c r="A185" s="5" t="s">
        <f>=HYPERLINK("https://www.leilaoonline.net/lote/detalhe/298992", "35603")</f>
      </c>
      <c r="B185" s="4" t="s">
        <f>=HYPERLINK("https://www.leilaoonline.net/lote/detalhe/298992", " COLHEDORA JOHN DEERE CH670 2L - ANO 2016 - FR117577. - LOC.BONFIM ")</f>
      </c>
      <c r="C185" s="4" t="inlineStr">
        <is>
          <t>Vendido</t>
        </is>
      </c>
      <c r="D185" s="4" t="inlineStr">
        <is>
          <t>6</t>
        </is>
      </c>
      <c r="E185" s="5" t="inlineStr">
        <is>
          <t>50.000,00</t>
        </is>
      </c>
      <c r="F185" s="4" t="inlineStr">
        <is>
          <t>2500.00</t>
        </is>
      </c>
    </row>
    <row collapsed="false" customFormat="false" customHeight="false" hidden="false" ht="12.1" outlineLevel="0" r="186">
      <c r="A186" s="5" t="s">
        <f>=HYPERLINK("https://www.leilaoonline.net/lote/detalhe/298964", "35604")</f>
      </c>
      <c r="B186" s="4" t="s">
        <f>=HYPERLINK("https://www.leilaoonline.net/lote/detalhe/298964", " MOTOR JOHN DEERE. - S/PT. - LOC. BONFIM ")</f>
      </c>
      <c r="C186" s="4" t="inlineStr">
        <is>
          <t>Vendido</t>
        </is>
      </c>
      <c r="D186" s="4" t="inlineStr">
        <is>
          <t>13</t>
        </is>
      </c>
      <c r="E186" s="5" t="inlineStr">
        <is>
          <t>7.000,00</t>
        </is>
      </c>
      <c r="F186" s="4" t="inlineStr">
        <is>
          <t>500.00</t>
        </is>
      </c>
    </row>
    <row collapsed="false" customFormat="false" customHeight="false" hidden="false" ht="12.1" outlineLevel="0" r="187">
      <c r="A187" s="5" t="s">
        <f>=HYPERLINK("https://www.leilaoonline.net/lote/detalhe/298970", "35605")</f>
      </c>
      <c r="B187" s="4" t="s">
        <f>=HYPERLINK("https://www.leilaoonline.net/lote/detalhe/298970", " CAMINHÃO VOLKSWAGEN/15.180 EURO3 WORKER; ANO 2011/2012; BRANCA. - FR360450 - LOC. BONFIM ")</f>
      </c>
      <c r="C187" s="4" t="inlineStr">
        <is>
          <t>Vendido</t>
        </is>
      </c>
      <c r="D187" s="4" t="inlineStr">
        <is>
          <t>79</t>
        </is>
      </c>
      <c r="E187" s="5" t="inlineStr">
        <is>
          <t>154.000,00</t>
        </is>
      </c>
      <c r="F187" s="4" t="inlineStr">
        <is>
          <t>2000.00</t>
        </is>
      </c>
    </row>
    <row collapsed="false" customFormat="false" customHeight="false" hidden="false" ht="12.1" outlineLevel="0" r="188">
      <c r="A188" s="5" t="s">
        <f>=HYPERLINK("https://www.leilaoonline.net/lote/detalhe/298977", "35607")</f>
      </c>
      <c r="B188" s="4" t="s">
        <f>=HYPERLINK("https://www.leilaoonline.net/lote/detalhe/298977", " MOTOR JOHN DEERE. - S/PT. - LOC. BONFIM ")</f>
      </c>
      <c r="C188" s="4" t="inlineStr">
        <is>
          <t>Vendido</t>
        </is>
      </c>
      <c r="D188" s="4" t="inlineStr">
        <is>
          <t>29</t>
        </is>
      </c>
      <c r="E188" s="5" t="inlineStr">
        <is>
          <t>14.000,00</t>
        </is>
      </c>
      <c r="F188" s="4" t="inlineStr">
        <is>
          <t>500.00</t>
        </is>
      </c>
    </row>
    <row collapsed="false" customFormat="false" customHeight="false" hidden="false" ht="12.1" outlineLevel="0" r="189">
      <c r="A189" s="5" t="s">
        <f>=HYPERLINK("https://www.leilaoonline.net/lote/detalhe/298986", "35608")</f>
      </c>
      <c r="B189" s="4" t="s">
        <f>=HYPERLINK("https://www.leilaoonline.net/lote/detalhe/298986", "COLHEDORA JOHN DEERE CH670 2L - ANO 2018 - FR20817. - LOC. BONFIM ")</f>
      </c>
      <c r="C189" s="4" t="inlineStr">
        <is>
          <t>Vendido</t>
        </is>
      </c>
      <c r="D189" s="4" t="inlineStr">
        <is>
          <t>2</t>
        </is>
      </c>
      <c r="E189" s="5" t="inlineStr">
        <is>
          <t>40.000,00</t>
        </is>
      </c>
      <c r="F189" s="4" t="inlineStr">
        <is>
          <t>2500.00</t>
        </is>
      </c>
    </row>
    <row collapsed="false" customFormat="false" customHeight="false" hidden="false" ht="12.1" outlineLevel="0" r="190">
      <c r="A190" s="5" t="s">
        <f>=HYPERLINK("https://www.leilaoonline.net/lote/detalhe/298981", "35610")</f>
      </c>
      <c r="B190" s="4" t="s">
        <f>=HYPERLINK("https://www.leilaoonline.net/lote/detalhe/298981", "COLHEDORA JOHN DEERE 3522 2L - ANO 2015 - FR117570. - LOC. BONFIM ")</f>
      </c>
      <c r="C190" s="4" t="inlineStr">
        <is>
          <t>Não vendido</t>
        </is>
      </c>
      <c r="D190" s="4" t="inlineStr">
        <is>
          <t>23</t>
        </is>
      </c>
      <c r="E190" s="5" t="inlineStr">
        <is>
          <t>42.000,00</t>
        </is>
      </c>
      <c r="F190" s="4" t="inlineStr">
        <is>
          <t>1000.00</t>
        </is>
      </c>
    </row>
    <row collapsed="false" customFormat="false" customHeight="false" hidden="false" ht="12.1" outlineLevel="0" r="191">
      <c r="A191" s="5" t="s">
        <f>=HYPERLINK("https://www.leilaoonline.net/lote/detalhe/298993", "35611")</f>
      </c>
      <c r="B191" s="4" t="s">
        <f>=HYPERLINK("https://www.leilaoonline.net/lote/detalhe/298993", " REBOQUE SERGOMEL RSCPI 4E; ANO 2014/2014; CINZA. - FR4858. - (SINISTRADO) - LOC. BONFIM ")</f>
      </c>
      <c r="C191" s="4" t="inlineStr">
        <is>
          <t>Não vendido</t>
        </is>
      </c>
      <c r="D191" s="4" t="inlineStr">
        <is>
          <t>10</t>
        </is>
      </c>
      <c r="E191" s="5" t="inlineStr">
        <is>
          <t>24.000,00</t>
        </is>
      </c>
      <c r="F191" s="4" t="inlineStr">
        <is>
          <t>1000.00</t>
        </is>
      </c>
    </row>
    <row collapsed="false" customFormat="false" customHeight="false" hidden="false" ht="12.1" outlineLevel="0" r="192">
      <c r="A192" s="5" t="s">
        <f>=HYPERLINK("https://www.leilaoonline.net/lote/detalhe/298969", "35612")</f>
      </c>
      <c r="B192" s="4" t="s">
        <f>=HYPERLINK("https://www.leilaoonline.net/lote/detalhe/298969", "MOTO BOMBA OM 352 - ANO 1988 - FR117070. - LOC. BONFIM ")</f>
      </c>
      <c r="C192" s="4" t="inlineStr">
        <is>
          <t>Vendido</t>
        </is>
      </c>
      <c r="D192" s="4" t="inlineStr">
        <is>
          <t>12</t>
        </is>
      </c>
      <c r="E192" s="5" t="inlineStr">
        <is>
          <t>4.750,00</t>
        </is>
      </c>
      <c r="F192" s="4" t="inlineStr">
        <is>
          <t>250.00</t>
        </is>
      </c>
    </row>
    <row collapsed="false" customFormat="false" customHeight="false" hidden="false" ht="12.1" outlineLevel="0" r="193">
      <c r="A193" s="5" t="s">
        <f>=HYPERLINK("https://www.leilaoonline.net/lote/detalhe/298976", "35614")</f>
      </c>
      <c r="B193" s="4" t="s">
        <f>=HYPERLINK("https://www.leilaoonline.net/lote/detalhe/298976", "COLHEDORA JOHN DEERE 3522 2L - ANO 2013 - FR101495. - LOC. SERRA ")</f>
      </c>
      <c r="C193" s="4" t="inlineStr">
        <is>
          <t>Vendido</t>
        </is>
      </c>
      <c r="D193" s="4" t="inlineStr">
        <is>
          <t>1</t>
        </is>
      </c>
      <c r="E193" s="5" t="inlineStr">
        <is>
          <t>15.000,00</t>
        </is>
      </c>
      <c r="F193" s="4" t="inlineStr">
        <is>
          <t>1000.00</t>
        </is>
      </c>
    </row>
    <row collapsed="false" customFormat="false" customHeight="false" hidden="false" ht="12.1" outlineLevel="0" r="194">
      <c r="A194" s="5" t="s">
        <f>=HYPERLINK("https://www.leilaoonline.net/lote/detalhe/298968", "35615")</f>
      </c>
      <c r="B194" s="4" t="s">
        <f>=HYPERLINK("https://www.leilaoonline.net/lote/detalhe/298968", "COLHEDORA JOHN DEERE CH670 2L - ANO 2016 - FR10767. - LOC. SERRA ")</f>
      </c>
      <c r="C194" s="4" t="inlineStr">
        <is>
          <t>Vendido</t>
        </is>
      </c>
      <c r="D194" s="4" t="inlineStr">
        <is>
          <t>17</t>
        </is>
      </c>
      <c r="E194" s="5" t="inlineStr">
        <is>
          <t>72.500,00</t>
        </is>
      </c>
      <c r="F194" s="4" t="inlineStr">
        <is>
          <t>2500.00</t>
        </is>
      </c>
    </row>
    <row collapsed="false" customFormat="false" customHeight="false" hidden="false" ht="12.1" outlineLevel="0" r="195">
      <c r="A195" s="5" t="s">
        <f>=HYPERLINK("https://www.leilaoonline.net/lote/detalhe/298974", "35618")</f>
      </c>
      <c r="B195" s="4" t="s">
        <f>=HYPERLINK("https://www.leilaoonline.net/lote/detalhe/298974", "COLHEDORA JOHN DEERE 3522 2L - ANO 2012 - FR128521. - LOC. SERRA ")</f>
      </c>
      <c r="C195" s="4" t="inlineStr">
        <is>
          <t>Vendido</t>
        </is>
      </c>
      <c r="D195" s="4" t="inlineStr">
        <is>
          <t>1</t>
        </is>
      </c>
      <c r="E195" s="5" t="inlineStr">
        <is>
          <t>15.000,00</t>
        </is>
      </c>
      <c r="F195" s="4" t="inlineStr">
        <is>
          <t>1000.00</t>
        </is>
      </c>
    </row>
    <row collapsed="false" customFormat="false" customHeight="false" hidden="false" ht="12.1" outlineLevel="0" r="196">
      <c r="A196" s="5" t="s">
        <f>=HYPERLINK("https://www.leilaoonline.net/lote/detalhe/298975", "35620")</f>
      </c>
      <c r="B196" s="4" t="s">
        <f>=HYPERLINK("https://www.leilaoonline.net/lote/detalhe/298975", "COLHEDORA CASE SUCATEADA. - FR189532 - (DESINVESTIMENTO) - LOC. SERRA ")</f>
      </c>
      <c r="C196" s="4" t="inlineStr">
        <is>
          <t>Vendido</t>
        </is>
      </c>
      <c r="D196" s="4" t="inlineStr">
        <is>
          <t>1</t>
        </is>
      </c>
      <c r="E196" s="5" t="inlineStr">
        <is>
          <t>10.000,00</t>
        </is>
      </c>
      <c r="F196" s="4" t="inlineStr">
        <is>
          <t>500.00</t>
        </is>
      </c>
    </row>
    <row collapsed="false" customFormat="false" customHeight="false" hidden="false" ht="12.1" outlineLevel="0" r="197">
      <c r="A197" s="5" t="s">
        <f>=HYPERLINK("https://www.leilaoonline.net/lote/detalhe/298988", "35621")</f>
      </c>
      <c r="B197" s="4" t="s">
        <f>=HYPERLINK("https://www.leilaoonline.net/lote/detalhe/298988", " IMPLEMENTO. - S/PT. LOC. SERRA ")</f>
      </c>
      <c r="C197" s="4" t="inlineStr">
        <is>
          <t>Não vendido</t>
        </is>
      </c>
      <c r="D197" s="4" t="inlineStr">
        <is>
          <t>0</t>
        </is>
      </c>
      <c r="E197" s="5" t="inlineStr">
        <is>
          <t>2.000,00</t>
        </is>
      </c>
      <c r="F197" s="4" t="inlineStr">
        <is>
          <t>250.00</t>
        </is>
      </c>
    </row>
    <row collapsed="false" customFormat="false" customHeight="false" hidden="false" ht="12.1" outlineLevel="0" r="198">
      <c r="A198" s="5" t="s">
        <f>=HYPERLINK("https://www.leilaoonline.net/lote/detalhe/298980", "35622")</f>
      </c>
      <c r="B198" s="4" t="s">
        <f>=HYPERLINK("https://www.leilaoonline.net/lote/detalhe/298980", " CARRETA DE TORTA ATA. - FR20877. - LOC. SERRA ")</f>
      </c>
      <c r="C198" s="4" t="inlineStr">
        <is>
          <t>Não vendido</t>
        </is>
      </c>
      <c r="D198" s="4" t="inlineStr">
        <is>
          <t>1</t>
        </is>
      </c>
      <c r="E198" s="5" t="inlineStr">
        <is>
          <t>2.000,00</t>
        </is>
      </c>
      <c r="F198" s="4" t="inlineStr">
        <is>
          <t>250.00</t>
        </is>
      </c>
    </row>
    <row collapsed="false" customFormat="false" customHeight="false" hidden="false" ht="12.1" outlineLevel="0" r="199">
      <c r="A199" s="5" t="s">
        <f>=HYPERLINK("https://www.leilaoonline.net/lote/detalhe/298966", "35623")</f>
      </c>
      <c r="B199" s="4" t="s">
        <f>=HYPERLINK("https://www.leilaoonline.net/lote/detalhe/298966", "TRANSBORDO SANTAL 12T - ANO 2015 - FR17310. - LOC. SERRA ")</f>
      </c>
      <c r="C199" s="4" t="inlineStr">
        <is>
          <t>Vendido</t>
        </is>
      </c>
      <c r="D199" s="4" t="inlineStr">
        <is>
          <t>2</t>
        </is>
      </c>
      <c r="E199" s="5" t="inlineStr">
        <is>
          <t>11.500,00</t>
        </is>
      </c>
      <c r="F199" s="4" t="inlineStr">
        <is>
          <t>1000.00</t>
        </is>
      </c>
    </row>
    <row collapsed="false" customFormat="false" customHeight="false" hidden="false" ht="12.1" outlineLevel="0" r="200">
      <c r="A200" s="5" t="s">
        <f>=HYPERLINK("https://www.leilaoonline.net/lote/detalhe/298985", "35624")</f>
      </c>
      <c r="B200" s="4" t="s">
        <f>=HYPERLINK("https://www.leilaoonline.net/lote/detalhe/298985", "TRANSBORDO SANTAL 12T - ANO 2015 - FR17330. - LOC. SERRA ")</f>
      </c>
      <c r="C200" s="4" t="inlineStr">
        <is>
          <t>Vendido</t>
        </is>
      </c>
      <c r="D200" s="4" t="inlineStr">
        <is>
          <t>1</t>
        </is>
      </c>
      <c r="E200" s="5" t="inlineStr">
        <is>
          <t>11.000,00</t>
        </is>
      </c>
      <c r="F200" s="4" t="inlineStr">
        <is>
          <t>1000.00</t>
        </is>
      </c>
    </row>
    <row collapsed="false" customFormat="false" customHeight="false" hidden="false" ht="12.1" outlineLevel="0" r="201">
      <c r="A201" s="5" t="s">
        <f>=HYPERLINK("https://www.leilaoonline.net/lote/detalhe/298984", "35626")</f>
      </c>
      <c r="B201" s="4" t="s">
        <f>=HYPERLINK("https://www.leilaoonline.net/lote/detalhe/298984", " TRANSBORDO SANTAL; ANO 2015. - FR17306. - LOC. SERRA ")</f>
      </c>
      <c r="C201" s="4" t="inlineStr">
        <is>
          <t>Vendido</t>
        </is>
      </c>
      <c r="D201" s="4" t="inlineStr">
        <is>
          <t>14</t>
        </is>
      </c>
      <c r="E201" s="5" t="inlineStr">
        <is>
          <t>23.000,00</t>
        </is>
      </c>
      <c r="F201" s="4" t="inlineStr">
        <is>
          <t>1000.00</t>
        </is>
      </c>
    </row>
    <row collapsed="false" customFormat="false" customHeight="false" hidden="false" ht="12.1" outlineLevel="0" r="202">
      <c r="A202" s="5" t="s">
        <f>=HYPERLINK("https://www.leilaoonline.net/lote/detalhe/298973", "35627")</f>
      </c>
      <c r="B202" s="4" t="s">
        <f>=HYPERLINK("https://www.leilaoonline.net/lote/detalhe/298973", "CAMINHÃO VOLKSWAGEN/15.180 EURO3 WORKER; ANO 2010/2010; BRANCA. - FR10603. - (SEM MOTOR; SEM CÂMBIO; OUTROS). - (BAÚ C/ COMPRESSOR, GERADOR, MAQ. SOLDA, MORÇA, ARMÁRIOS DE AÇO). - LOC. SERRA ")</f>
      </c>
      <c r="C202" s="4" t="inlineStr">
        <is>
          <t>Vendido</t>
        </is>
      </c>
      <c r="D202" s="4" t="inlineStr">
        <is>
          <t>39</t>
        </is>
      </c>
      <c r="E202" s="5" t="inlineStr">
        <is>
          <t>44.000,00</t>
        </is>
      </c>
      <c r="F202" s="4" t="inlineStr">
        <is>
          <t>1000.00</t>
        </is>
      </c>
    </row>
    <row collapsed="false" customFormat="false" customHeight="false" hidden="false" ht="12.1" outlineLevel="0" r="203">
      <c r="A203" s="5" t="s">
        <f>=HYPERLINK("https://www.leilaoonline.net/lote/detalhe/298972", "35628")</f>
      </c>
      <c r="B203" s="4" t="s">
        <f>=HYPERLINK("https://www.leilaoonline.net/lote/detalhe/298972", " CAMINHÃO VOLKSWAGEN/15.180 EURO3 WORKER; ANO 2010/2010; BRANCA. - (MUNCK). - FR40205. - LOC. SERRA ")</f>
      </c>
      <c r="C203" s="4" t="inlineStr">
        <is>
          <t>Não vendido</t>
        </is>
      </c>
      <c r="D203" s="4" t="inlineStr">
        <is>
          <t>97</t>
        </is>
      </c>
      <c r="E203" s="5" t="inlineStr">
        <is>
          <t>162.000,00</t>
        </is>
      </c>
      <c r="F203" s="4" t="inlineStr">
        <is>
          <t>2000.00</t>
        </is>
      </c>
    </row>
    <row collapsed="false" customFormat="false" customHeight="false" hidden="false" ht="12.1" outlineLevel="0" r="204">
      <c r="A204" s="5" t="s">
        <f>=HYPERLINK("https://www.leilaoonline.net/lote/detalhe/298965", "35629")</f>
      </c>
      <c r="B204" s="4" t="s">
        <f>=HYPERLINK("https://www.leilaoonline.net/lote/detalhe/298965", " CAMINHÃO VOLKSWAGEN/15.180 EURO3 WORKER; ANO 2010/2010; BRANCA. - FR40208. - (BAÚ c/ 4 TANQUES, GERADOR E ARMÁRIOS DE AÇO. - LOC. SERRA ")</f>
      </c>
      <c r="C204" s="4" t="inlineStr">
        <is>
          <t>Não vendido</t>
        </is>
      </c>
      <c r="D204" s="4" t="inlineStr">
        <is>
          <t>86</t>
        </is>
      </c>
      <c r="E204" s="5" t="inlineStr">
        <is>
          <t>120.000,00</t>
        </is>
      </c>
      <c r="F204" s="4" t="inlineStr">
        <is>
          <t>2000.00</t>
        </is>
      </c>
    </row>
    <row collapsed="false" customFormat="false" customHeight="false" hidden="false" ht="12.1" outlineLevel="0" r="205">
      <c r="A205" s="5" t="s">
        <f>=HYPERLINK("https://www.leilaoonline.net/lote/detalhe/298983", "35630")</f>
      </c>
      <c r="B205" s="4" t="s">
        <f>=HYPERLINK("https://www.leilaoonline.net/lote/detalhe/298983", " CAMINHÃO VOLKSWAGEN/31.330 CRC 6X4; ANO 2013/2014; BRANCA. -(S/MOTOR S/CÂMBIO/ OUTROS). -  FR10619. - LOC. SERRA ")</f>
      </c>
      <c r="C205" s="4" t="inlineStr">
        <is>
          <t>Vendido</t>
        </is>
      </c>
      <c r="D205" s="4" t="inlineStr">
        <is>
          <t>83</t>
        </is>
      </c>
      <c r="E205" s="5" t="inlineStr">
        <is>
          <t>86.500,00</t>
        </is>
      </c>
      <c r="F205" s="4" t="inlineStr">
        <is>
          <t>1000.00</t>
        </is>
      </c>
    </row>
    <row collapsed="false" customFormat="false" customHeight="false" hidden="false" ht="12.1" outlineLevel="0" r="206">
      <c r="A206" s="5" t="s">
        <f>=HYPERLINK("https://www.leilaoonline.net/lote/detalhe/299022", "35631")</f>
      </c>
      <c r="B206" s="4" t="s">
        <f>=HYPERLINK("https://www.leilaoonline.net/lote/detalhe/299022", "TRANSBORDO CIVEMASA TRIDEM 13T - ANO 2008 - FR9004084. - LOC. PARAISO ")</f>
      </c>
      <c r="C206" s="4" t="inlineStr">
        <is>
          <t>Vendido</t>
        </is>
      </c>
      <c r="D206" s="4" t="inlineStr">
        <is>
          <t>2</t>
        </is>
      </c>
      <c r="E206" s="5" t="inlineStr">
        <is>
          <t>11.000,00</t>
        </is>
      </c>
      <c r="F206" s="4" t="inlineStr">
        <is>
          <t>1000.00</t>
        </is>
      </c>
    </row>
    <row collapsed="false" customFormat="false" customHeight="false" hidden="false" ht="12.1" outlineLevel="0" r="207">
      <c r="A207" s="5" t="s">
        <f>=HYPERLINK("https://www.leilaoonline.net/lote/detalhe/299008", "35632")</f>
      </c>
      <c r="B207" s="4" t="s">
        <f>=HYPERLINK("https://www.leilaoonline.net/lote/detalhe/299008", "TRANSBORDO CIVEMASA TRIDEM 13T - ANO 2008 - FR5004815. - LOC. PARAISO")</f>
      </c>
      <c r="C207" s="4" t="inlineStr">
        <is>
          <t>Vendido</t>
        </is>
      </c>
      <c r="D207" s="4" t="inlineStr">
        <is>
          <t>3</t>
        </is>
      </c>
      <c r="E207" s="5" t="inlineStr">
        <is>
          <t>12.000,00</t>
        </is>
      </c>
      <c r="F207" s="4" t="inlineStr">
        <is>
          <t>1000.00</t>
        </is>
      </c>
    </row>
    <row collapsed="false" customFormat="false" customHeight="false" hidden="false" ht="12.1" outlineLevel="0" r="208">
      <c r="A208" s="5" t="s">
        <f>=HYPERLINK("https://www.leilaoonline.net/lote/detalhe/299021", "35635")</f>
      </c>
      <c r="B208" s="4" t="s">
        <f>=HYPERLINK("https://www.leilaoonline.net/lote/detalhe/299021", "TRANSBORDO CIVEMASA TRIDEM 13T - ANO 2008 - FR9004129. - LOC. PARAISO")</f>
      </c>
      <c r="C208" s="4" t="inlineStr">
        <is>
          <t>Vendido</t>
        </is>
      </c>
      <c r="D208" s="4" t="inlineStr">
        <is>
          <t>1</t>
        </is>
      </c>
      <c r="E208" s="5" t="inlineStr">
        <is>
          <t>10.000,00</t>
        </is>
      </c>
      <c r="F208" s="4" t="inlineStr">
        <is>
          <t>1000.00</t>
        </is>
      </c>
    </row>
    <row collapsed="false" customFormat="false" customHeight="false" hidden="false" ht="12.1" outlineLevel="0" r="209">
      <c r="A209" s="5" t="s">
        <f>=HYPERLINK("https://www.leilaoonline.net/lote/detalhe/298997", "35636")</f>
      </c>
      <c r="B209" s="4" t="s">
        <f>=HYPERLINK("https://www.leilaoonline.net/lote/detalhe/298997", "MOTO BOMBA OM 447-A - ANO 2008 - FR70064. - LOC. DIAMANTE")</f>
      </c>
      <c r="C209" s="4" t="inlineStr">
        <is>
          <t>Vendido</t>
        </is>
      </c>
      <c r="D209" s="4" t="inlineStr">
        <is>
          <t>16</t>
        </is>
      </c>
      <c r="E209" s="5" t="inlineStr">
        <is>
          <t>6.500,00</t>
        </is>
      </c>
      <c r="F209" s="4" t="inlineStr">
        <is>
          <t>500.00</t>
        </is>
      </c>
    </row>
    <row collapsed="false" customFormat="false" customHeight="false" hidden="false" ht="12.1" outlineLevel="0" r="210">
      <c r="A210" s="5" t="s">
        <f>=HYPERLINK("https://www.leilaoonline.net/lote/detalhe/299009", "35637")</f>
      </c>
      <c r="B210" s="4" t="s">
        <f>=HYPERLINK("https://www.leilaoonline.net/lote/detalhe/299009", " LOTE CONTENDO ITENS DIVERSOS, APROX. 02 COMPRESSOR, 01 FURADEIRA, 01 ESMERIL, 01PRENSA DE PNEUS LEVE, 04 PALLETS C/PEÇAS, 04 RADIADORES, 20 COMPRES. DE AR CONDICIONADO, 28 COMPONENTES HIDR.( VENSA COMO SUCATA). - S/PT. LOC. DIAMANTE ")</f>
      </c>
      <c r="C210" s="4" t="inlineStr">
        <is>
          <t>Vendido</t>
        </is>
      </c>
      <c r="D210" s="4" t="inlineStr">
        <is>
          <t>14</t>
        </is>
      </c>
      <c r="E210" s="5" t="inlineStr">
        <is>
          <t>6.500,00</t>
        </is>
      </c>
      <c r="F210" s="4" t="inlineStr">
        <is>
          <t>500.00</t>
        </is>
      </c>
    </row>
    <row collapsed="false" customFormat="false" customHeight="false" hidden="false" ht="12.1" outlineLevel="0" r="211">
      <c r="A211" s="5" t="s">
        <f>=HYPERLINK("https://www.leilaoonline.net/lote/detalhe/299010", "35638")</f>
      </c>
      <c r="B211" s="4" t="s">
        <f>=HYPERLINK("https://www.leilaoonline.net/lote/detalhe/299010", " APROX. 30 ROLOS DE BORRACHA. (VENDA COMO SUCATA) - S/PT. - LOC. BARRA  ")</f>
      </c>
      <c r="C211" s="4" t="inlineStr">
        <is>
          <t>Vendido</t>
        </is>
      </c>
      <c r="D211" s="4" t="inlineStr">
        <is>
          <t>24</t>
        </is>
      </c>
      <c r="E211" s="5" t="inlineStr">
        <is>
          <t>9.400,00</t>
        </is>
      </c>
      <c r="F211" s="4" t="inlineStr">
        <is>
          <t>500.00</t>
        </is>
      </c>
    </row>
    <row collapsed="false" customFormat="false" customHeight="false" hidden="false" ht="12.1" outlineLevel="0" r="212">
      <c r="A212" s="5" t="s">
        <f>=HYPERLINK("https://www.leilaoonline.net/lote/detalhe/299016", "35639")</f>
      </c>
      <c r="B212" s="4" t="s">
        <f>=HYPERLINK("https://www.leilaoonline.net/lote/detalhe/299016", " REBOQUE FACCHINI RFRBC; ANO 1992/1992; AZUL. - FR96508. - (TRANSBORDO). - LOC. BARRA ")</f>
      </c>
      <c r="C212" s="4" t="inlineStr">
        <is>
          <t>Não vendido</t>
        </is>
      </c>
      <c r="D212" s="4" t="inlineStr">
        <is>
          <t>23</t>
        </is>
      </c>
      <c r="E212" s="5" t="inlineStr">
        <is>
          <t>32.000,00</t>
        </is>
      </c>
      <c r="F212" s="4" t="inlineStr">
        <is>
          <t>1000.00</t>
        </is>
      </c>
    </row>
    <row collapsed="false" customFormat="false" customHeight="false" hidden="false" ht="12.1" outlineLevel="0" r="213">
      <c r="A213" s="5" t="s">
        <f>=HYPERLINK("https://www.leilaoonline.net/lote/detalhe/299004", "35640")</f>
      </c>
      <c r="B213" s="4" t="s">
        <f>=HYPERLINK("https://www.leilaoonline.net/lote/detalhe/299004", " REBOQUE/ FNV FRUEHAUF RCR; ANO 1992/1992; AZUL. - FR96123/98829. - (TRANSBORDO). - LOC. BARRA")</f>
      </c>
      <c r="C213" s="4" t="inlineStr">
        <is>
          <t>Não vendido</t>
        </is>
      </c>
      <c r="D213" s="4" t="inlineStr">
        <is>
          <t>22</t>
        </is>
      </c>
      <c r="E213" s="5" t="inlineStr">
        <is>
          <t>31.000,00</t>
        </is>
      </c>
      <c r="F213" s="4" t="inlineStr">
        <is>
          <t>1000.00</t>
        </is>
      </c>
    </row>
    <row collapsed="false" customFormat="false" customHeight="false" hidden="false" ht="12.1" outlineLevel="0" r="214">
      <c r="A214" s="5" t="s">
        <f>=HYPERLINK("https://www.leilaoonline.net/lote/detalhe/299024", "35641")</f>
      </c>
      <c r="B214" s="4" t="s">
        <f>=HYPERLINK("https://www.leilaoonline.net/lote/detalhe/299024", " ÁREA DE VIVÊNCIA. - FR1300420. - LOC. BARRA ")</f>
      </c>
      <c r="C214" s="4" t="inlineStr">
        <is>
          <t>Não vendido</t>
        </is>
      </c>
      <c r="D214" s="4" t="inlineStr">
        <is>
          <t>8</t>
        </is>
      </c>
      <c r="E214" s="5" t="inlineStr">
        <is>
          <t>4.750,00</t>
        </is>
      </c>
      <c r="F214" s="4" t="inlineStr">
        <is>
          <t>250.00</t>
        </is>
      </c>
    </row>
    <row collapsed="false" customFormat="false" customHeight="false" hidden="false" ht="12.1" outlineLevel="0" r="215">
      <c r="A215" s="5" t="s">
        <f>=HYPERLINK("https://www.leilaoonline.net/lote/detalhe/298998", "35642")</f>
      </c>
      <c r="B215" s="4" t="s">
        <f>=HYPERLINK("https://www.leilaoonline.net/lote/detalhe/298998", " ÁREA DE VIVÊNCIA. - FR13004207. - LOC. BARRA ")</f>
      </c>
      <c r="C215" s="4" t="inlineStr">
        <is>
          <t>Não vendido</t>
        </is>
      </c>
      <c r="D215" s="4" t="inlineStr">
        <is>
          <t>7</t>
        </is>
      </c>
      <c r="E215" s="5" t="inlineStr">
        <is>
          <t>4.500,00</t>
        </is>
      </c>
      <c r="F215" s="4" t="inlineStr">
        <is>
          <t>250.00</t>
        </is>
      </c>
    </row>
    <row collapsed="false" customFormat="false" customHeight="false" hidden="false" ht="12.1" outlineLevel="0" r="216">
      <c r="A216" s="5" t="s">
        <f>=HYPERLINK("https://www.leilaoonline.net/lote/detalhe/299007", "35643")</f>
      </c>
      <c r="B216" s="4" t="s">
        <f>=HYPERLINK("https://www.leilaoonline.net/lote/detalhe/299007", " ÁREA DE VIVÊNCIA. - FR13004200. - LOC. BARRA ")</f>
      </c>
      <c r="C216" s="4" t="inlineStr">
        <is>
          <t>Não vendido</t>
        </is>
      </c>
      <c r="D216" s="4" t="inlineStr">
        <is>
          <t>9</t>
        </is>
      </c>
      <c r="E216" s="5" t="inlineStr">
        <is>
          <t>5.000,00</t>
        </is>
      </c>
      <c r="F216" s="4" t="inlineStr">
        <is>
          <t>500.00</t>
        </is>
      </c>
    </row>
    <row collapsed="false" customFormat="false" customHeight="false" hidden="false" ht="12.1" outlineLevel="0" r="217">
      <c r="A217" s="5" t="s">
        <f>=HYPERLINK("https://www.leilaoonline.net/lote/detalhe/299020", "35644")</f>
      </c>
      <c r="B217" s="4" t="s">
        <f>=HYPERLINK("https://www.leilaoonline.net/lote/detalhe/299020", " ÁREA DE VIVÊNCIA. - FR13004203. - LOC. BARRA ")</f>
      </c>
      <c r="C217" s="4" t="inlineStr">
        <is>
          <t>Vendido</t>
        </is>
      </c>
      <c r="D217" s="4" t="inlineStr">
        <is>
          <t>5</t>
        </is>
      </c>
      <c r="E217" s="5" t="inlineStr">
        <is>
          <t>4.000,00</t>
        </is>
      </c>
      <c r="F217" s="4" t="inlineStr">
        <is>
          <t>250.00</t>
        </is>
      </c>
    </row>
    <row collapsed="false" customFormat="false" customHeight="false" hidden="false" ht="12.1" outlineLevel="0" r="218">
      <c r="A218" s="5" t="s">
        <f>=HYPERLINK("https://www.leilaoonline.net/lote/detalhe/299019", "35645")</f>
      </c>
      <c r="B218" s="4" t="s">
        <f>=HYPERLINK("https://www.leilaoonline.net/lote/detalhe/299019", " LOTE CONTENDO, 06 EIXOS E 03 PALLETS COM APROX. 35 TIRANTES. - S/FR. - LOC. BARRA ")</f>
      </c>
      <c r="C218" s="4" t="inlineStr">
        <is>
          <t>Vendido</t>
        </is>
      </c>
      <c r="D218" s="4" t="inlineStr">
        <is>
          <t>28</t>
        </is>
      </c>
      <c r="E218" s="5" t="inlineStr">
        <is>
          <t>8.650,00</t>
        </is>
      </c>
      <c r="F218" s="4" t="inlineStr">
        <is>
          <t>500.00</t>
        </is>
      </c>
    </row>
    <row collapsed="false" customFormat="false" customHeight="false" hidden="false" ht="12.1" outlineLevel="0" r="219">
      <c r="A219" s="5" t="s">
        <f>=HYPERLINK("https://www.leilaoonline.net/lote/detalhe/298999", "35646")</f>
      </c>
      <c r="B219" s="4" t="s">
        <f>=HYPERLINK("https://www.leilaoonline.net/lote/detalhe/298999", " LOTE CONTENDO 17 PISTÕES, 16 RADIADORES/ INTERCOOLER, 04 TAMPAS. - S/FR. - LOC. BARRA ")</f>
      </c>
      <c r="C219" s="4" t="inlineStr">
        <is>
          <t>Vendido</t>
        </is>
      </c>
      <c r="D219" s="4" t="inlineStr">
        <is>
          <t>46</t>
        </is>
      </c>
      <c r="E219" s="5" t="inlineStr">
        <is>
          <t>16.800,00</t>
        </is>
      </c>
      <c r="F219" s="4" t="inlineStr">
        <is>
          <t>500.00</t>
        </is>
      </c>
    </row>
    <row collapsed="false" customFormat="false" customHeight="false" hidden="false" ht="12.1" outlineLevel="0" r="220">
      <c r="A220" s="5" t="s">
        <f>=HYPERLINK("https://www.leilaoonline.net/lote/detalhe/299023", "35647")</f>
      </c>
      <c r="B220" s="4" t="s">
        <f>=HYPERLINK("https://www.leilaoonline.net/lote/detalhe/299023", " COBRIDOR. - FR103492. - LOC. BARRA ")</f>
      </c>
      <c r="C220" s="4" t="inlineStr">
        <is>
          <t>Vendido</t>
        </is>
      </c>
      <c r="D220" s="4" t="inlineStr">
        <is>
          <t>13</t>
        </is>
      </c>
      <c r="E220" s="5" t="inlineStr">
        <is>
          <t>3.700,00</t>
        </is>
      </c>
      <c r="F220" s="4" t="inlineStr">
        <is>
          <t>250.00</t>
        </is>
      </c>
    </row>
    <row collapsed="false" customFormat="false" customHeight="false" hidden="false" ht="12.1" outlineLevel="0" r="221">
      <c r="A221" s="5" t="s">
        <f>=HYPERLINK("https://www.leilaoonline.net/lote/detalhe/299006", "35648")</f>
      </c>
      <c r="B221" s="4" t="s">
        <f>=HYPERLINK("https://www.leilaoonline.net/lote/detalhe/299006", " COBRIDOR. - FR57422. - LOC. BARRA ")</f>
      </c>
      <c r="C221" s="4" t="inlineStr">
        <is>
          <t>Vendido</t>
        </is>
      </c>
      <c r="D221" s="4" t="inlineStr">
        <is>
          <t>3</t>
        </is>
      </c>
      <c r="E221" s="5" t="inlineStr">
        <is>
          <t>1.450,00</t>
        </is>
      </c>
      <c r="F221" s="4" t="inlineStr">
        <is>
          <t>250.00</t>
        </is>
      </c>
    </row>
    <row collapsed="false" customFormat="false" customHeight="false" hidden="false" ht="12.1" outlineLevel="0" r="222">
      <c r="A222" s="5" t="s">
        <f>=HYPERLINK("https://www.leilaoonline.net/lote/detalhe/299012", "35649")</f>
      </c>
      <c r="B222" s="4" t="s">
        <f>=HYPERLINK("https://www.leilaoonline.net/lote/detalhe/299012", "ENXADA ROTATIVA UNIVERSAL - ANO 2014 - FR103840. - LOC. BARRA ")</f>
      </c>
      <c r="C222" s="4" t="inlineStr">
        <is>
          <t>Vendido</t>
        </is>
      </c>
      <c r="D222" s="4" t="inlineStr">
        <is>
          <t>12</t>
        </is>
      </c>
      <c r="E222" s="5" t="inlineStr">
        <is>
          <t>6.000,00</t>
        </is>
      </c>
      <c r="F222" s="4" t="inlineStr">
        <is>
          <t>500.00</t>
        </is>
      </c>
    </row>
    <row collapsed="false" customFormat="false" customHeight="false" hidden="false" ht="12.1" outlineLevel="0" r="223">
      <c r="A223" s="5" t="s">
        <f>=HYPERLINK("https://www.leilaoonline.net/lote/detalhe/299002", "35650")</f>
      </c>
      <c r="B223" s="4" t="s">
        <f>=HYPERLINK("https://www.leilaoonline.net/lote/detalhe/299002", "VEJA VÍDEO!! CAMINHÃO VOLKSWAGEN/26.220 EURO3 WORKER; ANO 2011/2012; BRANCA. -(TANQUE FIBRA). - FR96643. - LOC. IPAUSSU")</f>
      </c>
      <c r="C223" s="4" t="inlineStr">
        <is>
          <t>Não vendido</t>
        </is>
      </c>
      <c r="D223" s="4" t="inlineStr">
        <is>
          <t>87</t>
        </is>
      </c>
      <c r="E223" s="5" t="inlineStr">
        <is>
          <t>149.000,00</t>
        </is>
      </c>
      <c r="F223" s="4" t="inlineStr">
        <is>
          <t>2000.00</t>
        </is>
      </c>
    </row>
    <row collapsed="false" customFormat="false" customHeight="false" hidden="false" ht="12.1" outlineLevel="0" r="224">
      <c r="A224" s="5" t="s">
        <f>=HYPERLINK("https://www.leilaoonline.net/lote/detalhe/299000", "35651")</f>
      </c>
      <c r="B224" s="4" t="s">
        <f>=HYPERLINK("https://www.leilaoonline.net/lote/detalhe/299000", " CAMINHÃO VOLKSWAGEN/26.220 EURO3 WORKER; ANO 2010/2010; BRANCA. - (TANQUE FIBRA). - FR43015. - LOC. IPAUSSU ")</f>
      </c>
      <c r="C224" s="4" t="inlineStr">
        <is>
          <t>Não vendido</t>
        </is>
      </c>
      <c r="D224" s="4" t="inlineStr">
        <is>
          <t>76</t>
        </is>
      </c>
      <c r="E224" s="5" t="inlineStr">
        <is>
          <t>139.000,00</t>
        </is>
      </c>
      <c r="F224" s="4" t="inlineStr">
        <is>
          <t>2000.00</t>
        </is>
      </c>
    </row>
    <row collapsed="false" customFormat="false" customHeight="false" hidden="false" ht="12.1" outlineLevel="0" r="225">
      <c r="A225" s="5" t="s">
        <f>=HYPERLINK("https://www.leilaoonline.net/lote/detalhe/299017", "35652")</f>
      </c>
      <c r="B225" s="4" t="s">
        <f>=HYPERLINK("https://www.leilaoonline.net/lote/detalhe/299017", " 03 CABINES DE COLHEDORA. - S/FR. - LOC. IPAUSSU ")</f>
      </c>
      <c r="C225" s="4" t="inlineStr">
        <is>
          <t>Vendido</t>
        </is>
      </c>
      <c r="D225" s="4" t="inlineStr">
        <is>
          <t>1</t>
        </is>
      </c>
      <c r="E225" s="5" t="inlineStr">
        <is>
          <t>1.500,00</t>
        </is>
      </c>
      <c r="F225" s="4" t="inlineStr">
        <is>
          <t>250.00</t>
        </is>
      </c>
    </row>
    <row collapsed="false" customFormat="false" customHeight="false" hidden="false" ht="12.1" outlineLevel="0" r="226">
      <c r="A226" s="5" t="s">
        <f>=HYPERLINK("https://www.leilaoonline.net/lote/detalhe/299001", "35653")</f>
      </c>
      <c r="B226" s="4" t="s">
        <f>=HYPERLINK("https://www.leilaoonline.net/lote/detalhe/299001", " LOTE APROX. 06 PALLETS, 02 CONTANNIER, 30 RADIADORES/INTERCOOLER/ COMP. E MANGUEIRAS, 20 BOMBAS COSTAL, 05 PNEUS E 01 ROLO DE BORRACHA. - S/PT. LOC. IPAUSSU ")</f>
      </c>
      <c r="C226" s="4" t="inlineStr">
        <is>
          <t>Vendido</t>
        </is>
      </c>
      <c r="D226" s="4" t="inlineStr">
        <is>
          <t>16</t>
        </is>
      </c>
      <c r="E226" s="5" t="inlineStr">
        <is>
          <t>8.500,00</t>
        </is>
      </c>
      <c r="F226" s="4" t="inlineStr">
        <is>
          <t>500.00</t>
        </is>
      </c>
    </row>
    <row collapsed="false" customFormat="false" customHeight="false" hidden="false" ht="12.1" outlineLevel="0" r="227">
      <c r="A227" s="5" t="s">
        <f>=HYPERLINK("https://www.leilaoonline.net/lote/detalhe/299014", "35654")</f>
      </c>
      <c r="B227" s="4" t="s">
        <f>=HYPERLINK("https://www.leilaoonline.net/lote/detalhe/299014", " REBOQUE RANDON SP RQ CA; ANO 2012/2013; CINZA. - FR46960. - LOC. IPAUSSU")</f>
      </c>
      <c r="C227" s="4" t="inlineStr">
        <is>
          <t>Vendido</t>
        </is>
      </c>
      <c r="D227" s="4" t="inlineStr">
        <is>
          <t>26</t>
        </is>
      </c>
      <c r="E227" s="5" t="inlineStr">
        <is>
          <t>35.000,00</t>
        </is>
      </c>
      <c r="F227" s="4" t="inlineStr">
        <is>
          <t>1000.00</t>
        </is>
      </c>
    </row>
    <row collapsed="false" customFormat="false" customHeight="false" hidden="false" ht="12.1" outlineLevel="0" r="228">
      <c r="A228" s="5" t="s">
        <f>=HYPERLINK("https://www.leilaoonline.net/lote/detalhe/299005", "35655")</f>
      </c>
      <c r="B228" s="4" t="s">
        <f>=HYPERLINK("https://www.leilaoonline.net/lote/detalhe/299005", " SEMI REBOQUE RANDONSP SRCA CA; ANO 2012/2013; CINZA. - FR70820. - LOC. IPAUSSU")</f>
      </c>
      <c r="C228" s="4" t="inlineStr">
        <is>
          <t>Vendido</t>
        </is>
      </c>
      <c r="D228" s="4" t="inlineStr">
        <is>
          <t>26</t>
        </is>
      </c>
      <c r="E228" s="5" t="inlineStr">
        <is>
          <t>35.000,00</t>
        </is>
      </c>
      <c r="F228" s="4" t="inlineStr">
        <is>
          <t>1000.00</t>
        </is>
      </c>
    </row>
    <row collapsed="false" customFormat="false" customHeight="false" hidden="false" ht="12.1" outlineLevel="0" r="229">
      <c r="A229" s="5" t="s">
        <f>=HYPERLINK("https://www.leilaoonline.net/lote/detalhe/299011", "35656")</f>
      </c>
      <c r="B229" s="4" t="s">
        <f>=HYPERLINK("https://www.leilaoonline.net/lote/detalhe/299011", " SUBSOLADOR LARG. 3 MTS APROX.. - FR48055. - LOC. IPAUSSU ")</f>
      </c>
      <c r="C229" s="4" t="inlineStr">
        <is>
          <t>Vendido</t>
        </is>
      </c>
      <c r="D229" s="4" t="inlineStr">
        <is>
          <t>8</t>
        </is>
      </c>
      <c r="E229" s="5" t="inlineStr">
        <is>
          <t>2.750,00</t>
        </is>
      </c>
      <c r="F229" s="4" t="inlineStr">
        <is>
          <t>250.00</t>
        </is>
      </c>
    </row>
    <row collapsed="false" customFormat="false" customHeight="false" hidden="false" ht="12.1" outlineLevel="0" r="230">
      <c r="A230" s="5" t="s">
        <f>=HYPERLINK("https://www.leilaoonline.net/lote/detalhe/299003", "35657")</f>
      </c>
      <c r="B230" s="4" t="s">
        <f>=HYPERLINK("https://www.leilaoonline.net/lote/detalhe/299003", " 02 MOTO BOMBAS E 01 FILTRO. -  S/FR. - LOC. IPAUSSU ")</f>
      </c>
      <c r="C230" s="4" t="inlineStr">
        <is>
          <t>Vendido</t>
        </is>
      </c>
      <c r="D230" s="4" t="inlineStr">
        <is>
          <t>1</t>
        </is>
      </c>
      <c r="E230" s="5" t="inlineStr">
        <is>
          <t>1.000,00</t>
        </is>
      </c>
      <c r="F230" s="4" t="inlineStr">
        <is>
          <t>250.00</t>
        </is>
      </c>
    </row>
    <row collapsed="false" customFormat="false" customHeight="false" hidden="false" ht="12.1" outlineLevel="0" r="231">
      <c r="A231" s="5" t="s">
        <f>=HYPERLINK("https://www.leilaoonline.net/lote/detalhe/299018", "35658")</f>
      </c>
      <c r="B231" s="4" t="s">
        <f>=HYPERLINK("https://www.leilaoonline.net/lote/detalhe/299018", " PICADOR/TRITURADOR DE PALHA; MARCA VEMEER MOD. HG 6000E. - S/FR. - LOC. IPAUSSU")</f>
      </c>
      <c r="C231" s="4" t="inlineStr">
        <is>
          <t>Vendido</t>
        </is>
      </c>
      <c r="D231" s="4" t="inlineStr">
        <is>
          <t>133</t>
        </is>
      </c>
      <c r="E231" s="5" t="inlineStr">
        <is>
          <t>246.000,00</t>
        </is>
      </c>
      <c r="F231" s="4" t="inlineStr">
        <is>
          <t>2000.00</t>
        </is>
      </c>
    </row>
    <row collapsed="false" customFormat="false" customHeight="false" hidden="false" ht="12.1" outlineLevel="0" r="232">
      <c r="A232" s="5" t="s">
        <f>=HYPERLINK("https://www.leilaoonline.net/lote/detalhe/295420", "35904")</f>
      </c>
      <c r="B232" s="4" t="s">
        <f>=HYPERLINK("https://www.leilaoonline.net/lote/detalhe/295420", " TRANSBORDO CIVEMASA TAC 13000 - ANO 2008 - FR9004121 - LOC. PASSATEMPO")</f>
      </c>
      <c r="C232" s="4" t="inlineStr">
        <is>
          <t>Não vendido</t>
        </is>
      </c>
      <c r="D232" s="4" t="inlineStr">
        <is>
          <t>0</t>
        </is>
      </c>
      <c r="E232" s="5" t="inlineStr">
        <is>
          <t>10.000,00</t>
        </is>
      </c>
      <c r="F232" s="4" t="inlineStr">
        <is>
          <t>1000.00</t>
        </is>
      </c>
    </row>
    <row collapsed="false" customFormat="false" customHeight="false" hidden="false" ht="12.1" outlineLevel="0" r="233">
      <c r="A233" s="5" t="s">
        <f>=HYPERLINK("https://www.leilaoonline.net/lote/detalhe/295406", "35905")</f>
      </c>
      <c r="B233" s="4" t="s">
        <f>=HYPERLINK("https://www.leilaoonline.net/lote/detalhe/295406", " TRANSBORDO CIVEMASA TAC 13000 - ANO 2008 - FR5004814 - LOC. RIO BRILHANTE ")</f>
      </c>
      <c r="C233" s="4" t="inlineStr">
        <is>
          <t>Não vendido</t>
        </is>
      </c>
      <c r="D233" s="4" t="inlineStr">
        <is>
          <t>0</t>
        </is>
      </c>
      <c r="E233" s="5" t="inlineStr">
        <is>
          <t>10.000,00</t>
        </is>
      </c>
      <c r="F233" s="4" t="inlineStr">
        <is>
          <t>1000.00</t>
        </is>
      </c>
    </row>
    <row collapsed="false" customFormat="false" customHeight="false" hidden="false" ht="12.1" outlineLevel="0" r="234">
      <c r="A234" s="5" t="s">
        <f>=HYPERLINK("https://www.leilaoonline.net/lote/detalhe/295415", "35906")</f>
      </c>
      <c r="B234" s="4" t="s">
        <f>=HYPERLINK("https://www.leilaoonline.net/lote/detalhe/295415", " TRANSBORDO CIVEMASA TAC 13000 - ANO 2008 - FR9004125 - LOC. PASSATEMPO")</f>
      </c>
      <c r="C234" s="4" t="inlineStr">
        <is>
          <t>Vendido</t>
        </is>
      </c>
      <c r="D234" s="4" t="inlineStr">
        <is>
          <t>1</t>
        </is>
      </c>
      <c r="E234" s="5" t="inlineStr">
        <is>
          <t>10.000,00</t>
        </is>
      </c>
      <c r="F234" s="4" t="inlineStr">
        <is>
          <t>1000.00</t>
        </is>
      </c>
    </row>
    <row collapsed="false" customFormat="false" customHeight="false" hidden="false" ht="12.1" outlineLevel="0" r="235">
      <c r="A235" s="5" t="s">
        <f>=HYPERLINK("https://www.leilaoonline.net/lote/detalhe/295418", "35907")</f>
      </c>
      <c r="B235" s="4" t="s">
        <f>=HYPERLINK("https://www.leilaoonline.net/lote/detalhe/295418", " IMPLEMENTO MUNCK USICAMP MK12LT5 - CAP. CARGA: 6000 Kg - ANO 2006 - FR5001265 - LOC. RIO BRILHANTE ")</f>
      </c>
      <c r="C235" s="4" t="inlineStr">
        <is>
          <t>Não vendido</t>
        </is>
      </c>
      <c r="D235" s="4" t="inlineStr">
        <is>
          <t>14</t>
        </is>
      </c>
      <c r="E235" s="5" t="inlineStr">
        <is>
          <t>19.500,00</t>
        </is>
      </c>
      <c r="F235" s="4" t="inlineStr">
        <is>
          <t>1000.00</t>
        </is>
      </c>
    </row>
    <row collapsed="false" customFormat="false" customHeight="false" hidden="false" ht="12.1" outlineLevel="0" r="236">
      <c r="A236" s="5" t="s">
        <f>=HYPERLINK("https://www.leilaoonline.net/lote/detalhe/295408", "35908")</f>
      </c>
      <c r="B236" s="4" t="s">
        <f>=HYPERLINK("https://www.leilaoonline.net/lote/detalhe/295408", " TRANSBORDO CIVEMASA TAC 13000 - ANO 2008 - FR9004080 - LOC. PASSATEMPO")</f>
      </c>
      <c r="C236" s="4" t="inlineStr">
        <is>
          <t>Não vendido</t>
        </is>
      </c>
      <c r="D236" s="4" t="inlineStr">
        <is>
          <t>0</t>
        </is>
      </c>
      <c r="E236" s="5" t="inlineStr">
        <is>
          <t>10.000,00</t>
        </is>
      </c>
      <c r="F236" s="4" t="inlineStr">
        <is>
          <t>1000.00</t>
        </is>
      </c>
    </row>
    <row collapsed="false" customFormat="false" customHeight="false" hidden="false" ht="12.1" outlineLevel="0" r="237">
      <c r="A237" s="5" t="s">
        <f>=HYPERLINK("https://www.leilaoonline.net/lote/detalhe/295410", "35909")</f>
      </c>
      <c r="B237" s="4" t="s">
        <f>=HYPERLINK("https://www.leilaoonline.net/lote/detalhe/295410", " SUBSOLADOR CIVEMASA STAC P 5 HASTE - ANO 2008 - FR563167 - LOC. RIO BRILHANTE ")</f>
      </c>
      <c r="C237" s="4" t="inlineStr">
        <is>
          <t>Vendido</t>
        </is>
      </c>
      <c r="D237" s="4" t="inlineStr">
        <is>
          <t>3</t>
        </is>
      </c>
      <c r="E237" s="5" t="inlineStr">
        <is>
          <t>1.500,00</t>
        </is>
      </c>
      <c r="F237" s="4" t="inlineStr">
        <is>
          <t>250.00</t>
        </is>
      </c>
    </row>
    <row collapsed="false" customFormat="false" customHeight="false" hidden="false" ht="12.1" outlineLevel="0" r="238">
      <c r="A238" s="5" t="s">
        <f>=HYPERLINK("https://www.leilaoonline.net/lote/detalhe/295416", "35910")</f>
      </c>
      <c r="B238" s="4" t="s">
        <f>=HYPERLINK("https://www.leilaoonline.net/lote/detalhe/295416", " CARROCERIA - S/FR - LOC. PASSATEMPO")</f>
      </c>
      <c r="C238" s="4" t="inlineStr">
        <is>
          <t>Vendido</t>
        </is>
      </c>
      <c r="D238" s="4" t="inlineStr">
        <is>
          <t>1</t>
        </is>
      </c>
      <c r="E238" s="5" t="inlineStr">
        <is>
          <t>3.000,00</t>
        </is>
      </c>
      <c r="F238" s="4" t="inlineStr">
        <is>
          <t>250.00</t>
        </is>
      </c>
    </row>
    <row collapsed="false" customFormat="false" customHeight="false" hidden="false" ht="12.1" outlineLevel="0" r="239">
      <c r="A239" s="5" t="s">
        <f>=HYPERLINK("https://www.leilaoonline.net/lote/detalhe/295417", "35911")</f>
      </c>
      <c r="B239" s="4" t="s">
        <f>=HYPERLINK("https://www.leilaoonline.net/lote/detalhe/295417", " IMPLEMENTO MUNCK, MODELO MOTOCANA MK 12 3H2M - CAP. CARGA: 6000Kg - ANO 2008 - FR98693 - LOC. RIO BRILHANTE ")</f>
      </c>
      <c r="C239" s="4" t="inlineStr">
        <is>
          <t>Vendido</t>
        </is>
      </c>
      <c r="D239" s="4" t="inlineStr">
        <is>
          <t>19</t>
        </is>
      </c>
      <c r="E239" s="5" t="inlineStr">
        <is>
          <t>19.000,00</t>
        </is>
      </c>
      <c r="F239" s="4" t="inlineStr">
        <is>
          <t>1000.00</t>
        </is>
      </c>
    </row>
    <row collapsed="false" customFormat="false" customHeight="false" hidden="false" ht="12.1" outlineLevel="0" r="240">
      <c r="A240" s="5" t="s">
        <f>=HYPERLINK("https://www.leilaoonline.net/lote/detalhe/295422", "35912")</f>
      </c>
      <c r="B240" s="4" t="s">
        <f>=HYPERLINK("https://www.leilaoonline.net/lote/detalhe/295422", " HIDRO ROLL - ANO 2017 - FR4445268 - LOC. CAARAPÓ")</f>
      </c>
      <c r="C240" s="4" t="inlineStr">
        <is>
          <t>Não vendido</t>
        </is>
      </c>
      <c r="D240" s="4" t="inlineStr">
        <is>
          <t>0</t>
        </is>
      </c>
      <c r="E240" s="5" t="inlineStr">
        <is>
          <t>1.000,00</t>
        </is>
      </c>
      <c r="F240" s="4" t="inlineStr">
        <is>
          <t>250.00</t>
        </is>
      </c>
    </row>
    <row collapsed="false" customFormat="false" customHeight="false" hidden="false" ht="12.1" outlineLevel="0" r="241">
      <c r="A241" s="5" t="s">
        <f>=HYPERLINK("https://www.leilaoonline.net/lote/detalhe/295409", "35914")</f>
      </c>
      <c r="B241" s="4" t="s">
        <f>=HYPERLINK("https://www.leilaoonline.net/lote/detalhe/295409", "SEMI REBOQUE USICAMP SRCTUS 2E - ANO 2016/2016 - AMARELA - FR4455156/FR4455157 - (PRANCHA CARROCERIA MUNCK) - LOC. CAARAPÓ")</f>
      </c>
      <c r="C241" s="4" t="inlineStr">
        <is>
          <t>Vendido</t>
        </is>
      </c>
      <c r="D241" s="4" t="inlineStr">
        <is>
          <t>103</t>
        </is>
      </c>
      <c r="E241" s="5" t="inlineStr">
        <is>
          <t>154.000,00</t>
        </is>
      </c>
      <c r="F241" s="4" t="inlineStr">
        <is>
          <t>2000.00</t>
        </is>
      </c>
    </row>
    <row collapsed="false" customFormat="false" customHeight="false" hidden="false" ht="12.1" outlineLevel="0" r="242">
      <c r="A242" s="5" t="s">
        <f>=HYPERLINK("https://www.leilaoonline.net/lote/detalhe/295421", "35916")</f>
      </c>
      <c r="B242" s="4" t="s">
        <f>=HYPERLINK("https://www.leilaoonline.net/lote/detalhe/295421", " REBOQUE USICAMP RCI E1E1 8200 - ANO 2003/2003 - AZUL - FR81957 - LOC. CAARAPÓ")</f>
      </c>
      <c r="C242" s="4" t="inlineStr">
        <is>
          <t>Vendido</t>
        </is>
      </c>
      <c r="D242" s="4" t="inlineStr">
        <is>
          <t>17</t>
        </is>
      </c>
      <c r="E242" s="5" t="inlineStr">
        <is>
          <t>26.000,00</t>
        </is>
      </c>
      <c r="F242" s="4" t="inlineStr">
        <is>
          <t>1000.00</t>
        </is>
      </c>
    </row>
    <row collapsed="false" customFormat="false" customHeight="false" hidden="false" ht="12.1" outlineLevel="0" r="243">
      <c r="A243" s="5" t="s">
        <f>=HYPERLINK("https://www.leilaoonline.net/lote/detalhe/295419", "35918")</f>
      </c>
      <c r="B243" s="4" t="s">
        <f>=HYPERLINK("https://www.leilaoonline.net/lote/detalhe/295419", " SEMI REBOQUE FACCHINI-IR RER CS - ANO 1999/1999 - PRETA - FR4451059 - LOC. CAARAPÓ")</f>
      </c>
      <c r="C243" s="4" t="inlineStr">
        <is>
          <t>Vendido</t>
        </is>
      </c>
      <c r="D243" s="4" t="inlineStr">
        <is>
          <t>30</t>
        </is>
      </c>
      <c r="E243" s="5" t="inlineStr">
        <is>
          <t>44.000,00</t>
        </is>
      </c>
      <c r="F243" s="4" t="inlineStr">
        <is>
          <t>1000.00</t>
        </is>
      </c>
    </row>
    <row collapsed="false" customFormat="false" customHeight="false" hidden="false" ht="12.1" outlineLevel="0" r="244">
      <c r="A244" s="5" t="s">
        <f>=HYPERLINK("https://www.leilaoonline.net/lote/detalhe/295414", "35919")</f>
      </c>
      <c r="B244" s="4" t="s">
        <f>=HYPERLINK("https://www.leilaoonline.net/lote/detalhe/295414", " TRANSBORDO CIVEMASA TAC 13000 - ANO 2008 - FR9004027 - LOC. PASSATEMPO")</f>
      </c>
      <c r="C244" s="4" t="inlineStr">
        <is>
          <t>Não vendido</t>
        </is>
      </c>
      <c r="D244" s="4" t="inlineStr">
        <is>
          <t>0</t>
        </is>
      </c>
      <c r="E244" s="5" t="inlineStr">
        <is>
          <t>10.000,00</t>
        </is>
      </c>
      <c r="F244" s="4" t="inlineStr">
        <is>
          <t>1000.00</t>
        </is>
      </c>
    </row>
    <row collapsed="false" customFormat="false" customHeight="false" hidden="false" ht="12.1" outlineLevel="0" r="245">
      <c r="A245" s="5" t="s">
        <f>=HYPERLINK("https://www.leilaoonline.net/lote/detalhe/299208", "35922")</f>
      </c>
      <c r="B245" s="4" t="s">
        <f>=HYPERLINK("https://www.leilaoonline.net/lote/detalhe/299208", " CAMINHÃO VOLKSWAGEN 26.220 EURO3 WORKER; ANO 2011/2011; BRANCA. - FR163142. - (DESINVESTIMENTO). - LOC. JATAI/GO")</f>
      </c>
      <c r="C245" s="4" t="inlineStr">
        <is>
          <t>Vendido</t>
        </is>
      </c>
      <c r="D245" s="4" t="inlineStr">
        <is>
          <t>77</t>
        </is>
      </c>
      <c r="E245" s="5" t="inlineStr">
        <is>
          <t>101.000,00</t>
        </is>
      </c>
      <c r="F245" s="4" t="inlineStr">
        <is>
          <t>1000.00</t>
        </is>
      </c>
    </row>
    <row collapsed="false" customFormat="false" customHeight="false" hidden="false" ht="12.1" outlineLevel="0" r="246">
      <c r="A246" s="5" t="s">
        <f>=HYPERLINK("https://www.leilaoonline.net/lote/detalhe/299218", "35923")</f>
      </c>
      <c r="B246" s="4" t="s">
        <f>=HYPERLINK("https://www.leilaoonline.net/lote/detalhe/299218", " MOTOR JOHN DEERE -S/ID. - (DESINVESTIMENTO). - LOC. JATAI/GO ")</f>
      </c>
      <c r="C246" s="4" t="inlineStr">
        <is>
          <t>Vendido</t>
        </is>
      </c>
      <c r="D246" s="4" t="inlineStr">
        <is>
          <t>5</t>
        </is>
      </c>
      <c r="E246" s="5" t="inlineStr">
        <is>
          <t>3.500,00</t>
        </is>
      </c>
      <c r="F246" s="4" t="inlineStr">
        <is>
          <t>500.00</t>
        </is>
      </c>
    </row>
    <row collapsed="false" customFormat="false" customHeight="false" hidden="false" ht="12.1" outlineLevel="0" r="247">
      <c r="A247" s="5" t="s">
        <f>=HYPERLINK("https://www.leilaoonline.net/lote/detalhe/299215", "35924")</f>
      </c>
      <c r="B247" s="4" t="s">
        <f>=HYPERLINK("https://www.leilaoonline.net/lote/detalhe/299215", "SEMI REBOQUE RANDONSP SRBS IN; ANO 2010/2010; AZUL. - FR82652. - (DESINVESTIMENTO). - LOC. JATAI/GO ")</f>
      </c>
      <c r="C247" s="4" t="inlineStr">
        <is>
          <t>Vendido</t>
        </is>
      </c>
      <c r="D247" s="4" t="inlineStr">
        <is>
          <t>17</t>
        </is>
      </c>
      <c r="E247" s="5" t="inlineStr">
        <is>
          <t>31.000,00</t>
        </is>
      </c>
      <c r="F247" s="4" t="inlineStr">
        <is>
          <t>1000.00</t>
        </is>
      </c>
    </row>
    <row collapsed="false" customFormat="false" customHeight="false" hidden="false" ht="12.1" outlineLevel="0" r="248">
      <c r="A248" s="5" t="s">
        <f>=HYPERLINK("https://www.leilaoonline.net/lote/detalhe/299209", "35926")</f>
      </c>
      <c r="B248" s="4" t="s">
        <f>=HYPERLINK("https://www.leilaoonline.net/lote/detalhe/299209", " CAMINHÃO VOLKSWAGEN 26.220 EURO3 WORKER; ANO 2011/2011; BRANCA. - (BOMBEIRO). - FR163138/FR165510. - (DESINVESTIMENTO) LOC. JATAI/GO ")</f>
      </c>
      <c r="C248" s="4" t="inlineStr">
        <is>
          <t>Não vendido</t>
        </is>
      </c>
      <c r="D248" s="4" t="inlineStr">
        <is>
          <t>114</t>
        </is>
      </c>
      <c r="E248" s="5" t="inlineStr">
        <is>
          <t>171.000,00</t>
        </is>
      </c>
      <c r="F248" s="4" t="inlineStr">
        <is>
          <t>2000.00</t>
        </is>
      </c>
    </row>
    <row collapsed="false" customFormat="false" customHeight="false" hidden="false" ht="12.1" outlineLevel="0" r="249">
      <c r="A249" s="5" t="s">
        <f>=HYPERLINK("https://www.leilaoonline.net/lote/detalhe/299213", "35928")</f>
      </c>
      <c r="B249" s="4" t="s">
        <f>=HYPERLINK("https://www.leilaoonline.net/lote/detalhe/299213", " CAMINHÃO VOLKSWAGEN 26.220 EURO3 WORKER; ANO 2008/2009; BRANCA. - FR163124. - (DESINVESTIMENTO) LOC. JATAI/GO")</f>
      </c>
      <c r="C249" s="4" t="inlineStr">
        <is>
          <t>Não vendido</t>
        </is>
      </c>
      <c r="D249" s="4" t="inlineStr">
        <is>
          <t>73</t>
        </is>
      </c>
      <c r="E249" s="5" t="inlineStr">
        <is>
          <t>105.000,00</t>
        </is>
      </c>
      <c r="F249" s="4" t="inlineStr">
        <is>
          <t>2000.00</t>
        </is>
      </c>
    </row>
    <row collapsed="false" customFormat="false" customHeight="false" hidden="false" ht="12.1" outlineLevel="0" r="250">
      <c r="A250" s="5" t="s">
        <f>=HYPERLINK("https://www.leilaoonline.net/lote/detalhe/298113", "35929")</f>
      </c>
      <c r="B250" s="4" t="s">
        <f>=HYPERLINK("https://www.leilaoonline.net/lote/detalhe/298113", "HIDRO ROLL METALMAG; ANO 2010. - FR164940. - LOC. JATAI/GO")</f>
      </c>
      <c r="C250" s="4" t="inlineStr">
        <is>
          <t>Não vendido</t>
        </is>
      </c>
      <c r="D250" s="4" t="inlineStr">
        <is>
          <t>0</t>
        </is>
      </c>
      <c r="E250" s="5" t="inlineStr">
        <is>
          <t>1.000,00</t>
        </is>
      </c>
      <c r="F250" s="4" t="inlineStr">
        <is>
          <t>250.00</t>
        </is>
      </c>
    </row>
    <row collapsed="false" customFormat="false" customHeight="false" hidden="false" ht="12.1" outlineLevel="0" r="251">
      <c r="A251" s="5" t="s">
        <f>=HYPERLINK("https://www.leilaoonline.net/lote/detalhe/299220", "35931")</f>
      </c>
      <c r="B251" s="4" t="s">
        <f>=HYPERLINK("https://www.leilaoonline.net/lote/detalhe/299220", " HIDRO ROLL METALMAG; ANO 2008. - FR164814. - (DESINVESTIMENTO). - LOC. JATAI/GO ")</f>
      </c>
      <c r="C251" s="4" t="inlineStr">
        <is>
          <t>Não vendido</t>
        </is>
      </c>
      <c r="D251" s="4" t="inlineStr">
        <is>
          <t>0</t>
        </is>
      </c>
      <c r="E251" s="5" t="inlineStr">
        <is>
          <t>1.000,00</t>
        </is>
      </c>
      <c r="F251" s="4" t="inlineStr">
        <is>
          <t>250.00</t>
        </is>
      </c>
    </row>
    <row collapsed="false" customFormat="false" customHeight="false" hidden="false" ht="12.1" outlineLevel="0" r="252">
      <c r="A252" s="5" t="s">
        <f>=HYPERLINK("https://www.leilaoonline.net/lote/detalhe/298112", "35933")</f>
      </c>
      <c r="B252" s="4" t="s">
        <f>=HYPERLINK("https://www.leilaoonline.net/lote/detalhe/298112", "HIDRO ROLL METALMAG; ANO 2008. - FR164836. - LOC. JATAI/GO ")</f>
      </c>
      <c r="C252" s="4" t="inlineStr">
        <is>
          <t>Não vendido</t>
        </is>
      </c>
      <c r="D252" s="4" t="inlineStr">
        <is>
          <t>0</t>
        </is>
      </c>
      <c r="E252" s="5" t="inlineStr">
        <is>
          <t>1.000,00</t>
        </is>
      </c>
      <c r="F252" s="4" t="inlineStr">
        <is>
          <t>250.00</t>
        </is>
      </c>
    </row>
    <row collapsed="false" customFormat="false" customHeight="false" hidden="false" ht="12.1" outlineLevel="0" r="253">
      <c r="A253" s="5" t="s">
        <f>=HYPERLINK("https://www.leilaoonline.net/lote/detalhe/299214", "35939")</f>
      </c>
      <c r="B253" s="4" t="s">
        <f>=HYPERLINK("https://www.leilaoonline.net/lote/detalhe/299214", " TRANSBORDO CIVEMASA TRIDEM 13T; ANO 2016. - FR4445259. - (DESINVESTIMENTO). - LOC. JATAI/GO ")</f>
      </c>
      <c r="C253" s="4" t="inlineStr">
        <is>
          <t>Não vendido</t>
        </is>
      </c>
      <c r="D253" s="4" t="inlineStr">
        <is>
          <t>0</t>
        </is>
      </c>
      <c r="E253" s="5" t="inlineStr">
        <is>
          <t>10.000,00</t>
        </is>
      </c>
      <c r="F253" s="4" t="inlineStr">
        <is>
          <t>500.00</t>
        </is>
      </c>
    </row>
    <row collapsed="false" customFormat="false" customHeight="false" hidden="false" ht="12.1" outlineLevel="0" r="254">
      <c r="A254" s="5" t="s">
        <f>=HYPERLINK("https://www.leilaoonline.net/lote/detalhe/298110", "35943")</f>
      </c>
      <c r="B254" s="4" t="s">
        <f>=HYPERLINK("https://www.leilaoonline.net/lote/detalhe/298110", "TRANSBORDO CIVEMASA TRIDEM 13T; ANO 2016. - FR4445258. - LOC. JATAI/GO ")</f>
      </c>
      <c r="C254" s="4" t="inlineStr">
        <is>
          <t>Não vendido</t>
        </is>
      </c>
      <c r="D254" s="4" t="inlineStr">
        <is>
          <t>0</t>
        </is>
      </c>
      <c r="E254" s="5" t="inlineStr">
        <is>
          <t>10.000,00</t>
        </is>
      </c>
      <c r="F254" s="4" t="inlineStr">
        <is>
          <t>500.00</t>
        </is>
      </c>
    </row>
    <row collapsed="false" customFormat="false" customHeight="false" hidden="false" ht="12.1" outlineLevel="0" r="255">
      <c r="A255" s="5" t="s">
        <f>=HYPERLINK("https://www.leilaoonline.net/lote/detalhe/299228", "35945")</f>
      </c>
      <c r="B255" s="4" t="s">
        <f>=HYPERLINK("https://www.leilaoonline.net/lote/detalhe/299228", " TRANSBORDO SANTA ISABEL TCS 12T; ANO 2010. - FR164322. - (DESINVESTIMENTO). - LOC. JATAI/GO ")</f>
      </c>
      <c r="C255" s="4" t="inlineStr">
        <is>
          <t>Não vendido</t>
        </is>
      </c>
      <c r="D255" s="4" t="inlineStr">
        <is>
          <t>0</t>
        </is>
      </c>
      <c r="E255" s="5" t="inlineStr">
        <is>
          <t>10.000,00</t>
        </is>
      </c>
      <c r="F255" s="4" t="inlineStr">
        <is>
          <t>500.00</t>
        </is>
      </c>
    </row>
    <row collapsed="false" customFormat="false" customHeight="false" hidden="false" ht="12.1" outlineLevel="0" r="256">
      <c r="A256" s="5" t="s">
        <f>=HYPERLINK("https://www.leilaoonline.net/lote/detalhe/299211", "35949")</f>
      </c>
      <c r="B256" s="4" t="s">
        <f>=HYPERLINK("https://www.leilaoonline.net/lote/detalhe/299211", "SUCATA DE TRATOR JOHN DEERE 7230 J 4X4; ANO 2020. - (QUEIMADO). - FR163526. - (DESINVESTIMENTO). - LOC. JATAI/GO ")</f>
      </c>
      <c r="C256" s="4" t="inlineStr">
        <is>
          <t>Não vendido</t>
        </is>
      </c>
      <c r="D256" s="4" t="inlineStr">
        <is>
          <t>51</t>
        </is>
      </c>
      <c r="E256" s="5" t="inlineStr">
        <is>
          <t>62.000,00</t>
        </is>
      </c>
      <c r="F256" s="4" t="inlineStr">
        <is>
          <t>1000.00</t>
        </is>
      </c>
    </row>
    <row collapsed="false" customFormat="false" customHeight="false" hidden="false" ht="12.1" outlineLevel="0" r="257">
      <c r="A257" s="5" t="s">
        <f>=HYPERLINK("https://www.leilaoonline.net/lote/detalhe/299219", "35953")</f>
      </c>
      <c r="B257" s="4" t="s">
        <f>=HYPERLINK("https://www.leilaoonline.net/lote/detalhe/299219", " TRANSBORDO CIVEMASA TRIDEM 13T; ANO 2016. - FR4445260. - (DESINVESTIMENTO). - LOC. JATAI/GO ")</f>
      </c>
      <c r="C257" s="4" t="inlineStr">
        <is>
          <t>Não vendido</t>
        </is>
      </c>
      <c r="D257" s="4" t="inlineStr">
        <is>
          <t>0</t>
        </is>
      </c>
      <c r="E257" s="5" t="inlineStr">
        <is>
          <t>10.000,00</t>
        </is>
      </c>
      <c r="F257" s="4" t="inlineStr">
        <is>
          <t>500.00</t>
        </is>
      </c>
    </row>
    <row collapsed="false" customFormat="false" customHeight="false" hidden="false" ht="12.1" outlineLevel="0" r="258">
      <c r="A258" s="5" t="s">
        <f>=HYPERLINK("https://www.leilaoonline.net/lote/detalhe/299224", "35955")</f>
      </c>
      <c r="B258" s="4" t="s">
        <f>=HYPERLINK("https://www.leilaoonline.net/lote/detalhe/299224", " HIDRO ROLL METALMAG; ANO 2008. - FR164838. - (DESINVESTIMENTO). - LOC. JATAI/GO ")</f>
      </c>
      <c r="C258" s="4" t="inlineStr">
        <is>
          <t>Não vendido</t>
        </is>
      </c>
      <c r="D258" s="4" t="inlineStr">
        <is>
          <t>0</t>
        </is>
      </c>
      <c r="E258" s="5" t="inlineStr">
        <is>
          <t>1.000,00</t>
        </is>
      </c>
      <c r="F258" s="4" t="inlineStr">
        <is>
          <t>250.00</t>
        </is>
      </c>
    </row>
    <row collapsed="false" customFormat="false" customHeight="false" hidden="false" ht="12.1" outlineLevel="0" r="259">
      <c r="A259" s="5" t="s">
        <f>=HYPERLINK("https://www.leilaoonline.net/lote/detalhe/299216", "35959")</f>
      </c>
      <c r="B259" s="4" t="s">
        <f>=HYPERLINK("https://www.leilaoonline.net/lote/detalhe/299216", " CAMINHÃO VOLKSWAGEN 26.220 EURO3 WORKER; ANO 2011/2011; BRANCA. - (CARROC. TANQUE COMBATE INC.). - FR163144/FR165512. - ( DESINVESTIMENTO) LOC. JATAI/GO ")</f>
      </c>
      <c r="C259" s="4" t="inlineStr">
        <is>
          <t>Vendido</t>
        </is>
      </c>
      <c r="D259" s="4" t="inlineStr">
        <is>
          <t>51</t>
        </is>
      </c>
      <c r="E259" s="5" t="inlineStr">
        <is>
          <t>117.000,00</t>
        </is>
      </c>
      <c r="F259" s="4" t="inlineStr">
        <is>
          <t>2000.00</t>
        </is>
      </c>
    </row>
    <row collapsed="false" customFormat="false" customHeight="false" hidden="false" ht="12.1" outlineLevel="0" r="260">
      <c r="A260" s="5" t="s">
        <f>=HYPERLINK("https://www.leilaoonline.net/lote/detalhe/299223", "35969")</f>
      </c>
      <c r="B260" s="4" t="s">
        <f>=HYPERLINK("https://www.leilaoonline.net/lote/detalhe/299223", "REBOQUE PRESIDENTE TRA CARGA1; ANO 2013/2013; CINZA. - FR164355. - (ÁREA DE VIVÊNCIA) - (DESINVESTIMENTO). - LOC. JATAI/GO ")</f>
      </c>
      <c r="C260" s="4" t="inlineStr">
        <is>
          <t>Vendido</t>
        </is>
      </c>
      <c r="D260" s="4" t="inlineStr">
        <is>
          <t>1</t>
        </is>
      </c>
      <c r="E260" s="5" t="inlineStr">
        <is>
          <t>5.000,00</t>
        </is>
      </c>
      <c r="F260" s="4" t="inlineStr">
        <is>
          <t>250.00</t>
        </is>
      </c>
    </row>
    <row collapsed="false" customFormat="false" customHeight="false" hidden="false" ht="12.1" outlineLevel="0" r="261">
      <c r="A261" s="5" t="s">
        <f>=HYPERLINK("https://www.leilaoonline.net/lote/detalhe/299222", "35970")</f>
      </c>
      <c r="B261" s="4" t="s">
        <f>=HYPERLINK("https://www.leilaoonline.net/lote/detalhe/299222", "REBOQUE FEDERAL LG; ANO 2013/2013; CINZA. - FR164395. - (ÁREA DE VIVÊNCIA) - (DESINVESTIMENTO). - LOC. JATAI/GO ")</f>
      </c>
      <c r="C261" s="4" t="inlineStr">
        <is>
          <t>Não vendido</t>
        </is>
      </c>
      <c r="D261" s="4" t="inlineStr">
        <is>
          <t>1</t>
        </is>
      </c>
      <c r="E261" s="5" t="inlineStr">
        <is>
          <t>5.000,00</t>
        </is>
      </c>
      <c r="F261" s="4" t="inlineStr">
        <is>
          <t>250.00</t>
        </is>
      </c>
    </row>
    <row collapsed="false" customFormat="false" customHeight="false" hidden="false" ht="12.1" outlineLevel="0" r="262">
      <c r="A262" s="5" t="s">
        <f>=HYPERLINK("https://www.leilaoonline.net/lote/detalhe/299221", "35971")</f>
      </c>
      <c r="B262" s="4" t="s">
        <f>=HYPERLINK("https://www.leilaoonline.net/lote/detalhe/299221", "SEMI REBOQUE SOUFER CFE 2E; ANO 2012/2012; CINZA. - FR103326. - (ÁREA DE VIVÊNCIA) - (DESINVESTIMENTO). - LOC. JATAI/GO ")</f>
      </c>
      <c r="C262" s="4" t="inlineStr">
        <is>
          <t>Vendido</t>
        </is>
      </c>
      <c r="D262" s="4" t="inlineStr">
        <is>
          <t>7</t>
        </is>
      </c>
      <c r="E262" s="5" t="inlineStr">
        <is>
          <t>7.750,00</t>
        </is>
      </c>
      <c r="F262" s="4" t="inlineStr">
        <is>
          <t>500.00</t>
        </is>
      </c>
    </row>
    <row collapsed="false" customFormat="false" customHeight="false" hidden="false" ht="12.1" outlineLevel="0" r="263">
      <c r="A263" s="5" t="s">
        <f>=HYPERLINK("https://www.leilaoonline.net/lote/detalhe/299227", "35972")</f>
      </c>
      <c r="B263" s="4" t="s">
        <f>=HYPERLINK("https://www.leilaoonline.net/lote/detalhe/299227", "REBOQUE PRESIDENTE TRA CARGA1; ANO 2013/2013; CINZA. - FR164356. - (ÁREA DE VIVÊNCIA) - (DESINVESTIMENTO). - LOC. JATAI/GO ")</f>
      </c>
      <c r="C263" s="4" t="inlineStr">
        <is>
          <t>Vendido</t>
        </is>
      </c>
      <c r="D263" s="4" t="inlineStr">
        <is>
          <t>5</t>
        </is>
      </c>
      <c r="E263" s="5" t="inlineStr">
        <is>
          <t>7.000,00</t>
        </is>
      </c>
      <c r="F263" s="4" t="inlineStr">
        <is>
          <t>500.00</t>
        </is>
      </c>
    </row>
    <row collapsed="false" customFormat="false" customHeight="false" hidden="false" ht="12.1" outlineLevel="0" r="264">
      <c r="A264" s="5" t="s">
        <f>=HYPERLINK("https://www.leilaoonline.net/lote/detalhe/299217", "35973")</f>
      </c>
      <c r="B264" s="4" t="s">
        <f>=HYPERLINK("https://www.leilaoonline.net/lote/detalhe/299217", "REBOQUE SOUFER CA 2E; ANO 2012/2012; CINZA. - FR22901. - (CARROCERIA TRANBOSRDO SANTA IZABEL) - (DESINVESTIMENTO). - LOC. JATAI/GO ")</f>
      </c>
      <c r="C264" s="4" t="inlineStr">
        <is>
          <t>Vendido</t>
        </is>
      </c>
      <c r="D264" s="4" t="inlineStr">
        <is>
          <t>20</t>
        </is>
      </c>
      <c r="E264" s="5" t="inlineStr">
        <is>
          <t>34.000,00</t>
        </is>
      </c>
      <c r="F264" s="4" t="inlineStr">
        <is>
          <t>1000.00</t>
        </is>
      </c>
    </row>
    <row collapsed="false" customFormat="false" customHeight="false" hidden="false" ht="12.1" outlineLevel="0" r="265">
      <c r="A265" s="5" t="s">
        <f>=HYPERLINK("https://www.leilaoonline.net/lote/detalhe/298114", "35975")</f>
      </c>
      <c r="B265" s="4" t="s">
        <f>=HYPERLINK("https://www.leilaoonline.net/lote/detalhe/298114", "SUBSOLADOR; ANO 2008. - FR165290. -  (CULTIVADOR AMARELO NÃO FAZ PARTE DO LOTE) - LOC. JATAI/GO")</f>
      </c>
      <c r="C265" s="4" t="inlineStr">
        <is>
          <t>Vendido</t>
        </is>
      </c>
      <c r="D265" s="4" t="inlineStr">
        <is>
          <t>20</t>
        </is>
      </c>
      <c r="E265" s="5" t="inlineStr">
        <is>
          <t>6.500,00</t>
        </is>
      </c>
      <c r="F265" s="4" t="inlineStr">
        <is>
          <t>500.00</t>
        </is>
      </c>
    </row>
    <row collapsed="false" customFormat="false" customHeight="false" hidden="false" ht="12.1" outlineLevel="0" r="266">
      <c r="A266" s="5" t="s">
        <f>=HYPERLINK("https://www.leilaoonline.net/lote/detalhe/298101", "35976")</f>
      </c>
      <c r="B266" s="4" t="s">
        <f>=HYPERLINK("https://www.leilaoonline.net/lote/detalhe/298101", "MOTO BOMBA OM 447; ANO 2010. - FR164907. - LOC. JATAI/GO")</f>
      </c>
      <c r="C266" s="4" t="inlineStr">
        <is>
          <t>Não vendido</t>
        </is>
      </c>
      <c r="D266" s="4" t="inlineStr">
        <is>
          <t>6</t>
        </is>
      </c>
      <c r="E266" s="5" t="inlineStr">
        <is>
          <t>3.250,00</t>
        </is>
      </c>
      <c r="F266" s="4" t="inlineStr">
        <is>
          <t>250.00</t>
        </is>
      </c>
    </row>
    <row collapsed="false" customFormat="false" customHeight="false" hidden="false" ht="12.1" outlineLevel="0" r="267">
      <c r="A267" s="5" t="s">
        <f>=HYPERLINK("https://www.leilaoonline.net/lote/detalhe/299210", "35977")</f>
      </c>
      <c r="B267" s="4" t="s">
        <f>=HYPERLINK("https://www.leilaoonline.net/lote/detalhe/299210", "SEMI REBOQUE SOUFER CFE 2E; ANO 2011/2012; CINZA. - FR164362. - (ÁREA DE VIVÊNCIA) - (DESINVESTIMENTO). - LOC. JATAI/GO ")</f>
      </c>
      <c r="C267" s="4" t="inlineStr">
        <is>
          <t>Vendido</t>
        </is>
      </c>
      <c r="D267" s="4" t="inlineStr">
        <is>
          <t>5</t>
        </is>
      </c>
      <c r="E267" s="5" t="inlineStr">
        <is>
          <t>9.000,00</t>
        </is>
      </c>
      <c r="F267" s="4" t="inlineStr">
        <is>
          <t>1000.00</t>
        </is>
      </c>
    </row>
    <row collapsed="false" customFormat="false" customHeight="false" hidden="false" ht="12.1" outlineLevel="0" r="268">
      <c r="A268" s="5" t="s">
        <f>=HYPERLINK("https://www.leilaoonline.net/lote/detalhe/298115", "35978")</f>
      </c>
      <c r="B268" s="4" t="s">
        <f>=HYPERLINK("https://www.leilaoonline.net/lote/detalhe/298115", "MOTO BOMBA OM 447 - A; ANO 2010. - FR164908. - LOC. JATAI/GO")</f>
      </c>
      <c r="C268" s="4" t="inlineStr">
        <is>
          <t>Vendido</t>
        </is>
      </c>
      <c r="D268" s="4" t="inlineStr">
        <is>
          <t>12</t>
        </is>
      </c>
      <c r="E268" s="5" t="inlineStr">
        <is>
          <t>10.500,00</t>
        </is>
      </c>
      <c r="F268" s="4" t="inlineStr">
        <is>
          <t>500.00</t>
        </is>
      </c>
    </row>
    <row collapsed="false" customFormat="false" customHeight="false" hidden="false" ht="12.1" outlineLevel="0" r="269">
      <c r="A269" s="5" t="s">
        <f>=HYPERLINK("https://www.leilaoonline.net/lote/detalhe/298108", "35979")</f>
      </c>
      <c r="B269" s="4" t="s">
        <f>=HYPERLINK("https://www.leilaoonline.net/lote/detalhe/298108", "DOLLY USICAMP; ANO 2009. - FR164799. - (VENDA SEM DOCUMENTO) - LOC. JATAI/GO")</f>
      </c>
      <c r="C269" s="4" t="inlineStr">
        <is>
          <t>Vendido</t>
        </is>
      </c>
      <c r="D269" s="4" t="inlineStr">
        <is>
          <t>1</t>
        </is>
      </c>
      <c r="E269" s="5" t="inlineStr">
        <is>
          <t>5.000,00</t>
        </is>
      </c>
      <c r="F269" s="4" t="inlineStr">
        <is>
          <t>500.00</t>
        </is>
      </c>
    </row>
    <row collapsed="false" customFormat="false" customHeight="false" hidden="false" ht="12.1" outlineLevel="0" r="270">
      <c r="A270" s="5" t="s">
        <f>=HYPERLINK("https://www.leilaoonline.net/lote/detalhe/298111", "35980")</f>
      </c>
      <c r="B270" s="4" t="s">
        <f>=HYPERLINK("https://www.leilaoonline.net/lote/detalhe/298111", "CARRETA BASCULANTE BALDAN; ANO 2011. - FR165406. - (VENDA SEM DOCUMENTO) - LOC. JATAI/GO")</f>
      </c>
      <c r="C270" s="4" t="inlineStr">
        <is>
          <t>Vendido</t>
        </is>
      </c>
      <c r="D270" s="4" t="inlineStr">
        <is>
          <t>3</t>
        </is>
      </c>
      <c r="E270" s="5" t="inlineStr">
        <is>
          <t>5.750,00</t>
        </is>
      </c>
      <c r="F270" s="4" t="inlineStr">
        <is>
          <t>250.00</t>
        </is>
      </c>
    </row>
    <row collapsed="false" customFormat="false" customHeight="false" hidden="false" ht="12.1" outlineLevel="0" r="271">
      <c r="A271" s="5" t="s">
        <f>=HYPERLINK("https://www.leilaoonline.net/lote/detalhe/298120", "35982")</f>
      </c>
      <c r="B271" s="4" t="s">
        <f>=HYPERLINK("https://www.leilaoonline.net/lote/detalhe/298120", "SUCATA DE TUBOS DE FIBRA, APROX. 25 UNID. - S/FR. - LOC. JATAI/GO")</f>
      </c>
      <c r="C271" s="4" t="inlineStr">
        <is>
          <t>Vendido</t>
        </is>
      </c>
      <c r="D271" s="4" t="inlineStr">
        <is>
          <t>1</t>
        </is>
      </c>
      <c r="E271" s="5" t="inlineStr">
        <is>
          <t>500,00</t>
        </is>
      </c>
      <c r="F271" s="4" t="inlineStr">
        <is>
          <t>100.00</t>
        </is>
      </c>
    </row>
    <row collapsed="false" customFormat="false" customHeight="false" hidden="false" ht="12.1" outlineLevel="0" r="272">
      <c r="A272" s="5" t="s">
        <f>=HYPERLINK("https://www.leilaoonline.net/lote/detalhe/299229", "35985")</f>
      </c>
      <c r="B272" s="4" t="s">
        <f>=HYPERLINK("https://www.leilaoonline.net/lote/detalhe/299229", " MOTOR SCANIA. - PT3161870. - (VENDIDO COMO SUCATA); (DESINVESTIMENTO) LOC. JATAI/GO")</f>
      </c>
      <c r="C272" s="4" t="inlineStr">
        <is>
          <t>Vendido</t>
        </is>
      </c>
      <c r="D272" s="4" t="inlineStr">
        <is>
          <t>52</t>
        </is>
      </c>
      <c r="E272" s="5" t="inlineStr">
        <is>
          <t>24.000,00</t>
        </is>
      </c>
      <c r="F272" s="4" t="inlineStr">
        <is>
          <t>1000.00</t>
        </is>
      </c>
    </row>
    <row collapsed="false" customFormat="false" customHeight="false" hidden="false" ht="12.1" outlineLevel="0" r="273">
      <c r="A273" s="5" t="s">
        <f>=HYPERLINK("https://www.leilaoonline.net/lote/detalhe/298122", "35986")</f>
      </c>
      <c r="B273" s="4" t="s">
        <f>=HYPERLINK("https://www.leilaoonline.net/lote/detalhe/298122", "LOTE DE APROX. 320 PALLETS. - S/FR. - LOC. JATAI/GO ")</f>
      </c>
      <c r="C273" s="4" t="inlineStr">
        <is>
          <t>Não vendido</t>
        </is>
      </c>
      <c r="D273" s="4" t="inlineStr">
        <is>
          <t>8</t>
        </is>
      </c>
      <c r="E273" s="5" t="inlineStr">
        <is>
          <t>650,00</t>
        </is>
      </c>
      <c r="F273" s="4" t="inlineStr">
        <is>
          <t>50.00</t>
        </is>
      </c>
    </row>
    <row collapsed="false" customFormat="false" customHeight="false" hidden="false" ht="12.1" outlineLevel="0" r="274">
      <c r="A274" s="5" t="s">
        <f>=HYPERLINK("https://www.leilaoonline.net/lote/detalhe/299226", "35987")</f>
      </c>
      <c r="B274" s="4" t="s">
        <f>=HYPERLINK("https://www.leilaoonline.net/lote/detalhe/299226", " HIDRO ROLL METALMAG; ANO 2007. - FR164813. - (DESINVESTIMENTO). - LOC. JATAI/GO ")</f>
      </c>
      <c r="C274" s="4" t="inlineStr">
        <is>
          <t>Não vendido</t>
        </is>
      </c>
      <c r="D274" s="4" t="inlineStr">
        <is>
          <t>3</t>
        </is>
      </c>
      <c r="E274" s="5" t="inlineStr">
        <is>
          <t>5.500,00</t>
        </is>
      </c>
      <c r="F274" s="4" t="inlineStr">
        <is>
          <t>500.00</t>
        </is>
      </c>
    </row>
    <row collapsed="false" customFormat="false" customHeight="false" hidden="false" ht="12.1" outlineLevel="0" r="275">
      <c r="A275" s="5" t="s">
        <f>=HYPERLINK("https://www.leilaoonline.net/lote/detalhe/299212", "35988")</f>
      </c>
      <c r="B275" s="4" t="s">
        <f>=HYPERLINK("https://www.leilaoonline.net/lote/detalhe/299212", " HIDRO ROLL METALMAG; ANO 2008. - FR164830. - (DESINVESTIMENTO). - LOC. JATAI/GO ")</f>
      </c>
      <c r="C275" s="4" t="inlineStr">
        <is>
          <t>Vendido</t>
        </is>
      </c>
      <c r="D275" s="4" t="inlineStr">
        <is>
          <t>2</t>
        </is>
      </c>
      <c r="E275" s="5" t="inlineStr">
        <is>
          <t>1.250,00</t>
        </is>
      </c>
      <c r="F275" s="4" t="inlineStr">
        <is>
          <t>250.00</t>
        </is>
      </c>
    </row>
    <row collapsed="false" customFormat="false" customHeight="false" hidden="false" ht="12.1" outlineLevel="0" r="276">
      <c r="A276" s="5" t="s">
        <f>=HYPERLINK("https://www.leilaoonline.net/lote/detalhe/300200", "35990")</f>
      </c>
      <c r="B276" s="4" t="s">
        <f>=HYPERLINK("https://www.leilaoonline.net/lote/detalhe/300200", "TORNO MECÂNICO - S/FR - (DESINVESTIMENTO) - LOC. PASSATEMPO")</f>
      </c>
      <c r="C276" s="4" t="inlineStr">
        <is>
          <t>Vendido</t>
        </is>
      </c>
      <c r="D276" s="4" t="inlineStr">
        <is>
          <t>56</t>
        </is>
      </c>
      <c r="E276" s="5" t="inlineStr">
        <is>
          <t>36.500,00</t>
        </is>
      </c>
      <c r="F276" s="4" t="inlineStr">
        <is>
          <t>1000.00</t>
        </is>
      </c>
    </row>
    <row collapsed="false" customFormat="false" customHeight="false" hidden="false" ht="12.1" outlineLevel="0" r="277">
      <c r="A277" s="5" t="s">
        <f>=HYPERLINK("https://www.leilaoonline.net/lote/detalhe/300197", "35991")</f>
      </c>
      <c r="B277" s="4" t="s">
        <f>=HYPERLINK("https://www.leilaoonline.net/lote/detalhe/300197", "REBOQUE RANDON SP RQ CA - ANO 2011/2011 - AZUL - FR4041 - (VENDA SOMENTE PARA COMPRADORES DO ESTADO DE SÃO PAULO) - (DESINVESTIMENTO) - LOC. PASSATEMPO")</f>
      </c>
      <c r="C277" s="4" t="inlineStr">
        <is>
          <t>Vendido</t>
        </is>
      </c>
      <c r="D277" s="4" t="inlineStr">
        <is>
          <t>16</t>
        </is>
      </c>
      <c r="E277" s="5" t="inlineStr">
        <is>
          <t>35.000,00</t>
        </is>
      </c>
      <c r="F277" s="4" t="inlineStr">
        <is>
          <t>1000.00</t>
        </is>
      </c>
    </row>
    <row collapsed="false" customFormat="false" customHeight="false" hidden="false" ht="12.1" outlineLevel="0" r="278">
      <c r="A278" s="5" t="s">
        <f>=HYPERLINK("https://www.leilaoonline.net/lote/detalhe/300196", "35992")</f>
      </c>
      <c r="B278" s="4" t="s">
        <f>=HYPERLINK("https://www.leilaoonline.net/lote/detalhe/300196", "REBOQUE RANDON SP RQ CA - ANO 2011/2011 - AZUL - FR4047 - (VENDA SOMENTE PARA COMPRADORES DO ESTADO DE SÃO PAULO) - (DESINVESTIMENTO) - LOC. PASSATEMPO")</f>
      </c>
      <c r="C278" s="4" t="inlineStr">
        <is>
          <t>Vendido</t>
        </is>
      </c>
      <c r="D278" s="4" t="inlineStr">
        <is>
          <t>16</t>
        </is>
      </c>
      <c r="E278" s="5" t="inlineStr">
        <is>
          <t>35.000,00</t>
        </is>
      </c>
      <c r="F278" s="4" t="inlineStr">
        <is>
          <t>1000.00</t>
        </is>
      </c>
    </row>
    <row collapsed="false" customFormat="false" customHeight="false" hidden="false" ht="12.1" outlineLevel="0" r="279">
      <c r="A279" s="5" t="s">
        <f>=HYPERLINK("https://www.leilaoonline.net/lote/detalhe/300194", "35993")</f>
      </c>
      <c r="B279" s="4" t="s">
        <f>=HYPERLINK("https://www.leilaoonline.net/lote/detalhe/300194", "SEMI REBOQUE RANDON SP SRCA CA - ANO 2011/2011 - AZUL - FR4045 - (VENDA SOMENTE PARA COMPRADORES DO ESTADO DE SÃO PAULO) - (DESINVESTIMENTO) - LOC. PASSATEMPO")</f>
      </c>
      <c r="C279" s="4" t="inlineStr">
        <is>
          <t>Vendido</t>
        </is>
      </c>
      <c r="D279" s="4" t="inlineStr">
        <is>
          <t>8</t>
        </is>
      </c>
      <c r="E279" s="5" t="inlineStr">
        <is>
          <t>27.000,00</t>
        </is>
      </c>
      <c r="F279" s="4" t="inlineStr">
        <is>
          <t>1000.00</t>
        </is>
      </c>
    </row>
    <row collapsed="false" customFormat="false" customHeight="false" hidden="false" ht="12.1" outlineLevel="0" r="280">
      <c r="A280" s="5" t="s">
        <f>=HYPERLINK("https://www.leilaoonline.net/lote/detalhe/300205", "35994")</f>
      </c>
      <c r="B280" s="4" t="s">
        <f>=HYPERLINK("https://www.leilaoonline.net/lote/detalhe/300205", "LOTE CONTENDO 17 RALAS E 2 TAMBORES DE COMPRESSOR - (DESINVESTIMENTO) - LOC. RIO BRILHANTE")</f>
      </c>
      <c r="C280" s="4" t="inlineStr">
        <is>
          <t>Vendido</t>
        </is>
      </c>
      <c r="D280" s="4" t="inlineStr">
        <is>
          <t>7</t>
        </is>
      </c>
      <c r="E280" s="5" t="inlineStr">
        <is>
          <t>2.500,00</t>
        </is>
      </c>
      <c r="F280" s="4" t="inlineStr">
        <is>
          <t>250.00</t>
        </is>
      </c>
    </row>
    <row collapsed="false" customFormat="false" customHeight="false" hidden="false" ht="12.1" outlineLevel="0" r="281">
      <c r="A281" s="5" t="s">
        <f>=HYPERLINK("https://www.leilaoonline.net/lote/detalhe/300202", "35996")</f>
      </c>
      <c r="B281" s="4" t="s">
        <f>=HYPERLINK("https://www.leilaoonline.net/lote/detalhe/300202", "LOTE CONTENDO APROX. 80 CONJUNTOS DE LONA DE FREIO E 2 PARACHOQUES DE MERCEDES 1718 - (DESINVESTIMENTO) - LOC. RIO BRILHANTE")</f>
      </c>
      <c r="C281" s="4" t="inlineStr">
        <is>
          <t>Vendido</t>
        </is>
      </c>
      <c r="D281" s="4" t="inlineStr">
        <is>
          <t>1</t>
        </is>
      </c>
      <c r="E281" s="5" t="inlineStr">
        <is>
          <t>1.000,00</t>
        </is>
      </c>
      <c r="F281" s="4" t="inlineStr">
        <is>
          <t>250.00</t>
        </is>
      </c>
    </row>
    <row collapsed="false" customFormat="false" customHeight="false" hidden="false" ht="12.1" outlineLevel="0" r="282">
      <c r="A282" s="5" t="s">
        <f>=HYPERLINK("https://www.leilaoonline.net/lote/detalhe/300203", "35997")</f>
      </c>
      <c r="B282" s="4" t="s">
        <f>=HYPERLINK("https://www.leilaoonline.net/lote/detalhe/300203", "FURADEIRA DE BANCADA - S/FR - (DESINVESTIMENTO) - LOC. RIO BRILHANTE")</f>
      </c>
      <c r="C282" s="4" t="inlineStr">
        <is>
          <t>Não vendido</t>
        </is>
      </c>
      <c r="D282" s="4" t="inlineStr">
        <is>
          <t>0</t>
        </is>
      </c>
      <c r="E282" s="5" t="inlineStr">
        <is>
          <t>1.000,00</t>
        </is>
      </c>
      <c r="F282" s="4" t="inlineStr">
        <is>
          <t>250.00</t>
        </is>
      </c>
    </row>
    <row collapsed="false" customFormat="false" customHeight="false" hidden="false" ht="12.1" outlineLevel="0" r="283">
      <c r="A283" s="5" t="s">
        <f>=HYPERLINK("https://www.leilaoonline.net/lote/detalhe/300201", "35999")</f>
      </c>
      <c r="B283" s="4" t="s">
        <f>=HYPERLINK("https://www.leilaoonline.net/lote/detalhe/300201", "FURADEIRA DE BANCADA - S/FR - (DESINVESTIMENTO) - LOC. PASSATEMPO")</f>
      </c>
      <c r="C283" s="4" t="inlineStr">
        <is>
          <t>Não vendido</t>
        </is>
      </c>
      <c r="D283" s="4" t="inlineStr">
        <is>
          <t>22</t>
        </is>
      </c>
      <c r="E283" s="5" t="inlineStr">
        <is>
          <t>6.500,00</t>
        </is>
      </c>
      <c r="F283" s="4" t="inlineStr">
        <is>
          <t>500.00</t>
        </is>
      </c>
    </row>
    <row collapsed="false" customFormat="false" customHeight="false" hidden="false" ht="12.1" outlineLevel="0" r="284">
      <c r="A284" s="5" t="s">
        <f>=HYPERLINK("https://www.leilaoonline.net/lote/detalhe/300204", "36010")</f>
      </c>
      <c r="B284" s="4" t="s">
        <f>=HYPERLINK("https://www.leilaoonline.net/lote/detalhe/300204", "LOTE CONTENDO: 6 RADIADORES; 6 INTERCOOLERS; 25 LONAS DE FREIO; 18 CATRACAS DE CAMINHÃO; E 40 BARRAS DE DIREÇÃO DO TRATOR CASE - (DESINVESTIMENTO) - LOC. PASSATEMPO")</f>
      </c>
      <c r="C284" s="4" t="inlineStr">
        <is>
          <t>Vendido</t>
        </is>
      </c>
      <c r="D284" s="4" t="inlineStr">
        <is>
          <t>1</t>
        </is>
      </c>
      <c r="E284" s="5" t="inlineStr">
        <is>
          <t>3.000,00</t>
        </is>
      </c>
      <c r="F284" s="4" t="inlineStr">
        <is>
          <t>500.00</t>
        </is>
      </c>
    </row>
    <row collapsed="false" customFormat="false" customHeight="false" hidden="false" ht="12.1" outlineLevel="0" r="285">
      <c r="A285" s="5" t="s">
        <f>=HYPERLINK("https://www.leilaoonline.net/lote/detalhe/300193", "36012")</f>
      </c>
      <c r="B285" s="4" t="s">
        <f>=HYPERLINK("https://www.leilaoonline.net/lote/detalhe/300193", "SEMI REBOQUE RANDON SP SRCA CA - ANO 2011/2011 - AZUL - FR4038 - (VENDA SOMENTE PARA COMPRADORES DO ESTADO DE SÃO PAULO) - (DESINVESTIMENTO) - LOC. PASSATEMPO ")</f>
      </c>
      <c r="C285" s="4" t="inlineStr">
        <is>
          <t>Vendido</t>
        </is>
      </c>
      <c r="D285" s="4" t="inlineStr">
        <is>
          <t>20</t>
        </is>
      </c>
      <c r="E285" s="5" t="inlineStr">
        <is>
          <t>39.000,00</t>
        </is>
      </c>
      <c r="F285" s="4" t="inlineStr">
        <is>
          <t>1000.00</t>
        </is>
      </c>
    </row>
    <row collapsed="false" customFormat="false" customHeight="false" hidden="false" ht="12.1" outlineLevel="0" r="286">
      <c r="A286" s="5" t="s">
        <f>=HYPERLINK("https://www.leilaoonline.net/lote/detalhe/300198", "36014")</f>
      </c>
      <c r="B286" s="4" t="s">
        <f>=HYPERLINK("https://www.leilaoonline.net/lote/detalhe/300198", "SEMI REBOQUE RANDON SP SRCA CA - ANO 2011/2011 - AZUL - FR4039 - (VENDA SOMENTE PARA COMPRADORES DO ESTADO DE SÃO PAULO) - (DESINVESTIMENTO) - LOC. PASSATEMPO")</f>
      </c>
      <c r="C286" s="4" t="inlineStr">
        <is>
          <t>Vendido</t>
        </is>
      </c>
      <c r="D286" s="4" t="inlineStr">
        <is>
          <t>15</t>
        </is>
      </c>
      <c r="E286" s="5" t="inlineStr">
        <is>
          <t>34.000,00</t>
        </is>
      </c>
      <c r="F286" s="4" t="inlineStr">
        <is>
          <t>1000.00</t>
        </is>
      </c>
    </row>
    <row collapsed="false" customFormat="false" customHeight="false" hidden="false" ht="12.1" outlineLevel="0" r="287">
      <c r="A287" s="5" t="s">
        <f>=HYPERLINK("https://www.leilaoonline.net/lote/detalhe/300195", "36016")</f>
      </c>
      <c r="B287" s="4" t="s">
        <f>=HYPERLINK("https://www.leilaoonline.net/lote/detalhe/300195", "SEMI REBOQUE RANDON SP SRCA CA - ANO 2011/2011 - AZUL - FR4049 - (VENDA SOMENTE PARA COMPRADORES DO ESTADO DE SÃO PAULO) - (DESINVESTIMENTO) - LOC. PASSATEMPO")</f>
      </c>
      <c r="C287" s="4" t="inlineStr">
        <is>
          <t>Vendido</t>
        </is>
      </c>
      <c r="D287" s="4" t="inlineStr">
        <is>
          <t>1</t>
        </is>
      </c>
      <c r="E287" s="5" t="inlineStr">
        <is>
          <t>15.000,00</t>
        </is>
      </c>
      <c r="F287" s="4" t="inlineStr">
        <is>
          <t>1000.00</t>
        </is>
      </c>
    </row>
    <row collapsed="false" customFormat="false" customHeight="false" hidden="false" ht="12.1" outlineLevel="0" r="288">
      <c r="A288" s="5" t="s">
        <f>=HYPERLINK("https://www.leilaoonline.net/lote/detalhe/300199", "36018")</f>
      </c>
      <c r="B288" s="4" t="s">
        <f>=HYPERLINK("https://www.leilaoonline.net/lote/detalhe/300199", "SUCATA DE TRATOR JOHN DEERE - ANO 2019 - FR168671 - (DESINVESTIMENTO) - LOC. PASSATEMPO")</f>
      </c>
      <c r="C288" s="4" t="inlineStr">
        <is>
          <t>Vendido</t>
        </is>
      </c>
      <c r="D288" s="4" t="inlineStr">
        <is>
          <t>25</t>
        </is>
      </c>
      <c r="E288" s="5" t="inlineStr">
        <is>
          <t>30.000,00</t>
        </is>
      </c>
      <c r="F288" s="4" t="inlineStr">
        <is>
          <t>1000.00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2026-09-28T16:53:33.00Z</dcterms:created>
  <dc:creator>Tellks Tecnologia</dc:creator>
  <cp:revision>0</cp:revision>
</cp:coreProperties>
</file>